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<sst xmlns="http://schemas.openxmlformats.org/spreadsheetml/2006/main" count="1838" uniqueCount="331">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</sst>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617187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" width="11.875" style="4" customWidth="1"/>
    <col min="17" max="16384" width="9.125" style="4" customWidth="1"/>
  </cols>
  <sheetData>
    <row r="1" spans="1:15" s="1" customFormat="1" ht="26.25" customHeight="1">
      <c r="A1" s="249" t="s">
        <v>329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17"/>
      <c r="O1" s="118"/>
    </row>
    <row r="2" spans="2:15" s="1" customFormat="1" ht="15.75" customHeight="1">
      <c r="B2" s="250"/>
      <c r="C2" s="250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51"/>
      <c r="B3" s="253"/>
      <c r="C3" s="254" t="s">
        <v>0</v>
      </c>
      <c r="D3" s="40"/>
      <c r="E3" s="255" t="s">
        <v>107</v>
      </c>
      <c r="F3" s="256"/>
      <c r="G3" s="256"/>
      <c r="H3" s="114"/>
      <c r="I3" s="114"/>
      <c r="J3" s="257" t="s">
        <v>327</v>
      </c>
      <c r="K3" s="260" t="s">
        <v>328</v>
      </c>
      <c r="L3" s="260"/>
      <c r="M3" s="260"/>
      <c r="N3" s="260"/>
      <c r="O3" s="260"/>
    </row>
    <row r="4" spans="1:15" ht="22.5" customHeight="1">
      <c r="A4" s="251"/>
      <c r="B4" s="253"/>
      <c r="C4" s="254"/>
      <c r="D4" s="261" t="s">
        <v>325</v>
      </c>
      <c r="E4" s="245" t="s">
        <v>116</v>
      </c>
      <c r="F4" s="242" t="s">
        <v>217</v>
      </c>
      <c r="G4" s="247" t="s">
        <v>326</v>
      </c>
      <c r="H4" s="116" t="s">
        <v>172</v>
      </c>
      <c r="I4" s="121" t="s">
        <v>171</v>
      </c>
      <c r="J4" s="258"/>
      <c r="K4" s="227" t="s">
        <v>330</v>
      </c>
      <c r="L4" s="242" t="s">
        <v>136</v>
      </c>
      <c r="M4" s="244" t="s">
        <v>135</v>
      </c>
      <c r="N4" s="122" t="s">
        <v>172</v>
      </c>
      <c r="O4" s="123" t="s">
        <v>171</v>
      </c>
    </row>
    <row r="5" spans="1:16" ht="92.25" customHeight="1">
      <c r="A5" s="252"/>
      <c r="B5" s="253"/>
      <c r="C5" s="254"/>
      <c r="D5" s="262"/>
      <c r="E5" s="246"/>
      <c r="F5" s="243"/>
      <c r="G5" s="248"/>
      <c r="H5" s="240" t="s">
        <v>324</v>
      </c>
      <c r="I5" s="241"/>
      <c r="J5" s="259"/>
      <c r="K5" s="228"/>
      <c r="L5" s="243"/>
      <c r="M5" s="244"/>
      <c r="N5" s="240" t="s">
        <v>176</v>
      </c>
      <c r="O5" s="241"/>
      <c r="P5" s="157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15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611870.8</v>
      </c>
      <c r="F8" s="18">
        <f aca="true" t="shared" si="0" ref="F8:F54">E8-D8</f>
        <v>39581.80000000005</v>
      </c>
      <c r="G8" s="45">
        <f>E8/D8*100</f>
        <v>106.91640062975176</v>
      </c>
      <c r="H8" s="18">
        <f>H9+H15+H18+H19+H20+H32</f>
        <v>119438.448</v>
      </c>
      <c r="I8" s="18"/>
      <c r="J8" s="18">
        <f>J9+J15+J18+J19+J20+J32+J17</f>
        <v>31645.430000000004</v>
      </c>
      <c r="K8" s="18">
        <f>K9+K15+K18+K19+K20+K32+K17</f>
        <v>3061.0199999999677</v>
      </c>
      <c r="L8" s="31">
        <f aca="true" t="shared" si="1" ref="L8:L54">K8-J8</f>
        <v>-28584.410000000036</v>
      </c>
      <c r="M8" s="31">
        <f>E8/J8*100</f>
        <v>1933.5202586913813</v>
      </c>
      <c r="N8" s="31">
        <f>K8-33748.16</f>
        <v>-30687.140000000036</v>
      </c>
      <c r="O8" s="125">
        <f>K8/33748.16</f>
        <v>0.09070183381849461</v>
      </c>
    </row>
    <row r="9" spans="1:16" s="6" customFormat="1" ht="15.75">
      <c r="A9" s="8"/>
      <c r="B9" s="15" t="s">
        <v>223</v>
      </c>
      <c r="C9" s="59">
        <v>11010000</v>
      </c>
      <c r="D9" s="36">
        <v>312190</v>
      </c>
      <c r="E9" s="143">
        <v>331709.41</v>
      </c>
      <c r="F9" s="43">
        <f t="shared" si="0"/>
        <v>19519.409999999974</v>
      </c>
      <c r="G9" s="35">
        <f aca="true" t="shared" si="2" ref="G9:G38">E9/D9*100</f>
        <v>106.25241359428553</v>
      </c>
      <c r="H9" s="132">
        <f>E9-390088.74/75*60</f>
        <v>19638.418000000005</v>
      </c>
      <c r="I9" s="132">
        <f>E9/(390088.74/75*60)*100</f>
        <v>106.29293285932837</v>
      </c>
      <c r="J9" s="35">
        <f>D9-листопад!E9</f>
        <v>22222.880000000005</v>
      </c>
      <c r="K9" s="35">
        <f>E9-листопад!F9</f>
        <v>2485.3799999999464</v>
      </c>
      <c r="L9" s="47">
        <f t="shared" si="1"/>
        <v>-19737.50000000006</v>
      </c>
      <c r="M9" s="50">
        <f aca="true" t="shared" si="3" ref="M9:M32">K9/J9*100</f>
        <v>11.183878957182625</v>
      </c>
      <c r="N9" s="132">
        <f>K9-26568.11</f>
        <v>-24082.730000000054</v>
      </c>
      <c r="O9" s="133">
        <f>K9/26568.11</f>
        <v>0.09354748982896963</v>
      </c>
      <c r="P9" s="158"/>
    </row>
    <row r="10" spans="1:15" s="6" customFormat="1" ht="15.75" hidden="1">
      <c r="A10" s="8"/>
      <c r="B10" s="183" t="s">
        <v>253</v>
      </c>
      <c r="C10" s="134">
        <v>11010100</v>
      </c>
      <c r="D10" s="135">
        <v>270410</v>
      </c>
      <c r="E10" s="144">
        <v>294543.3</v>
      </c>
      <c r="F10" s="135">
        <f t="shared" si="0"/>
        <v>24133.29999999999</v>
      </c>
      <c r="G10" s="137">
        <f t="shared" si="2"/>
        <v>108.924706926519</v>
      </c>
      <c r="H10" s="138">
        <f>E10-345014.69/75*60</f>
        <v>18531.54799999995</v>
      </c>
      <c r="I10" s="138">
        <f>E10/(345014.69/75*60)*100</f>
        <v>106.71404310349799</v>
      </c>
      <c r="J10" s="137">
        <f>D10-листопад!E10</f>
        <v>18049.179999999993</v>
      </c>
      <c r="K10" s="137">
        <f>E10-листопад!F10</f>
        <v>2320.7699999999604</v>
      </c>
      <c r="L10" s="138">
        <f t="shared" si="1"/>
        <v>-15728.410000000033</v>
      </c>
      <c r="M10" s="136">
        <f t="shared" si="3"/>
        <v>12.85803565591324</v>
      </c>
      <c r="N10" s="50"/>
      <c r="O10" s="126"/>
    </row>
    <row r="11" spans="1:15" s="6" customFormat="1" ht="15.75" hidden="1">
      <c r="A11" s="8"/>
      <c r="B11" s="183" t="s">
        <v>249</v>
      </c>
      <c r="C11" s="134">
        <v>11010200</v>
      </c>
      <c r="D11" s="135">
        <v>23200</v>
      </c>
      <c r="E11" s="144">
        <v>17566.77</v>
      </c>
      <c r="F11" s="135">
        <f t="shared" si="0"/>
        <v>-5633.23</v>
      </c>
      <c r="G11" s="137">
        <f t="shared" si="2"/>
        <v>75.71883620689655</v>
      </c>
      <c r="H11" s="138">
        <f>E11-28367.99/75*60</f>
        <v>-5127.621999999999</v>
      </c>
      <c r="I11" s="138">
        <f>E11/(28367.99/75*60)*100</f>
        <v>77.40577495973456</v>
      </c>
      <c r="J11" s="137">
        <f>D11-листопад!E11</f>
        <v>2230.0999999999985</v>
      </c>
      <c r="K11" s="137">
        <f>E11-листопад!F11</f>
        <v>46.70999999999913</v>
      </c>
      <c r="L11" s="138">
        <f t="shared" si="1"/>
        <v>-2183.3899999999994</v>
      </c>
      <c r="M11" s="136">
        <f t="shared" si="3"/>
        <v>2.094524909196859</v>
      </c>
      <c r="N11" s="50"/>
      <c r="O11" s="126"/>
    </row>
    <row r="12" spans="1:15" s="6" customFormat="1" ht="15.75" hidden="1">
      <c r="A12" s="8"/>
      <c r="B12" s="183" t="s">
        <v>252</v>
      </c>
      <c r="C12" s="134">
        <v>11010400</v>
      </c>
      <c r="D12" s="135">
        <v>5800</v>
      </c>
      <c r="E12" s="144">
        <v>4605.94</v>
      </c>
      <c r="F12" s="135">
        <f t="shared" si="0"/>
        <v>-1194.0600000000004</v>
      </c>
      <c r="G12" s="137">
        <f t="shared" si="2"/>
        <v>79.41275862068964</v>
      </c>
      <c r="H12" s="138">
        <f>E12-7225.35/75*60</f>
        <v>-1174.340000000001</v>
      </c>
      <c r="I12" s="138">
        <f>E12/(7225.35*60)*100</f>
        <v>1.0624491085783618</v>
      </c>
      <c r="J12" s="137">
        <f>D12-листопад!E12</f>
        <v>931</v>
      </c>
      <c r="K12" s="137">
        <f>E12-листопад!F12</f>
        <v>24.710000000000036</v>
      </c>
      <c r="L12" s="138">
        <f t="shared" si="1"/>
        <v>-906.29</v>
      </c>
      <c r="M12" s="136">
        <f t="shared" si="3"/>
        <v>2.6541353383458683</v>
      </c>
      <c r="N12" s="50"/>
      <c r="O12" s="126"/>
    </row>
    <row r="13" spans="1:15" s="6" customFormat="1" ht="15.75" hidden="1">
      <c r="A13" s="8"/>
      <c r="B13" s="183" t="s">
        <v>250</v>
      </c>
      <c r="C13" s="134">
        <v>11010500</v>
      </c>
      <c r="D13" s="135">
        <v>8400</v>
      </c>
      <c r="E13" s="144">
        <v>6823.54</v>
      </c>
      <c r="F13" s="135">
        <f t="shared" si="0"/>
        <v>-1576.46</v>
      </c>
      <c r="G13" s="137">
        <f t="shared" si="2"/>
        <v>81.23261904761905</v>
      </c>
      <c r="H13" s="138">
        <f>E13-9302.03/75*60</f>
        <v>-618.0839999999998</v>
      </c>
      <c r="I13" s="138">
        <f>E13/(9302.03/75*60)*100</f>
        <v>91.69423233423242</v>
      </c>
      <c r="J13" s="137">
        <f>D13-листопад!E13</f>
        <v>616.6000000000004</v>
      </c>
      <c r="K13" s="137">
        <f>E13-листопад!F13</f>
        <v>93.1899999999996</v>
      </c>
      <c r="L13" s="138">
        <f t="shared" si="1"/>
        <v>-523.4100000000008</v>
      </c>
      <c r="M13" s="136">
        <f t="shared" si="3"/>
        <v>15.113525786571447</v>
      </c>
      <c r="N13" s="50"/>
      <c r="O13" s="126"/>
    </row>
    <row r="14" spans="1:15" s="6" customFormat="1" ht="15.75" hidden="1">
      <c r="A14" s="8"/>
      <c r="B14" s="183" t="s">
        <v>251</v>
      </c>
      <c r="C14" s="134">
        <v>11010900</v>
      </c>
      <c r="D14" s="135">
        <v>4380</v>
      </c>
      <c r="E14" s="144">
        <v>8169.86</v>
      </c>
      <c r="F14" s="135">
        <f t="shared" si="0"/>
        <v>3789.8599999999997</v>
      </c>
      <c r="G14" s="137">
        <f t="shared" si="2"/>
        <v>186.52648401826482</v>
      </c>
      <c r="H14" s="138">
        <f>E14-178.67/75*60</f>
        <v>8026.924</v>
      </c>
      <c r="I14" s="138">
        <f>E14/(178.67/75*60)*100</f>
        <v>5715.746907706946</v>
      </c>
      <c r="J14" s="137">
        <f>D14-жовтень!E14</f>
        <v>786</v>
      </c>
      <c r="K14" s="137">
        <f>E14-листопад!F14</f>
        <v>0</v>
      </c>
      <c r="L14" s="138">
        <f t="shared" si="1"/>
        <v>-786</v>
      </c>
      <c r="M14" s="136">
        <f t="shared" si="3"/>
        <v>0</v>
      </c>
      <c r="N14" s="50"/>
      <c r="O14" s="126"/>
    </row>
    <row r="15" spans="1:15" s="6" customFormat="1" ht="31.5">
      <c r="A15" s="8"/>
      <c r="B15" s="14" t="s">
        <v>19</v>
      </c>
      <c r="C15" s="59">
        <v>11020200</v>
      </c>
      <c r="D15" s="36">
        <v>500</v>
      </c>
      <c r="E15" s="143">
        <v>-536.92</v>
      </c>
      <c r="F15" s="43">
        <f t="shared" si="0"/>
        <v>-1036.92</v>
      </c>
      <c r="G15" s="35"/>
      <c r="H15" s="53">
        <f>E15-(-1180.37)</f>
        <v>643.4499999999999</v>
      </c>
      <c r="I15" s="53">
        <f>E15/(-1180.37)*100</f>
        <v>45.48743190694443</v>
      </c>
      <c r="J15" s="35">
        <f>D15-листопад!E15</f>
        <v>328.6</v>
      </c>
      <c r="K15" s="35">
        <f>E15-листопад!F15</f>
        <v>0</v>
      </c>
      <c r="L15" s="47">
        <f t="shared" si="1"/>
        <v>-328.6</v>
      </c>
      <c r="M15" s="50"/>
      <c r="N15" s="50">
        <f>K15-358.81</f>
        <v>-358.81</v>
      </c>
      <c r="O15" s="126">
        <f>K15/358.81</f>
        <v>0</v>
      </c>
    </row>
    <row r="16" spans="1:15" s="6" customFormat="1" ht="15.7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>
        <f t="shared" si="0"/>
        <v>0</v>
      </c>
      <c r="G16" s="137"/>
      <c r="H16" s="138">
        <f>E16-(-381.9)</f>
        <v>381.9</v>
      </c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138">
        <f t="shared" si="1"/>
        <v>0</v>
      </c>
      <c r="M16" s="50"/>
      <c r="N16" s="136">
        <f>K16-358.81</f>
        <v>-358.81</v>
      </c>
      <c r="O16" s="141">
        <f>K16/358.79</f>
        <v>0</v>
      </c>
    </row>
    <row r="17" spans="1:15" s="6" customFormat="1" ht="31.5">
      <c r="A17" s="8"/>
      <c r="B17" s="60" t="s">
        <v>247</v>
      </c>
      <c r="C17" s="181">
        <v>13010200</v>
      </c>
      <c r="D17" s="43">
        <v>0</v>
      </c>
      <c r="E17" s="168">
        <v>0.14</v>
      </c>
      <c r="F17" s="135"/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138"/>
      <c r="M17" s="50"/>
      <c r="N17" s="136"/>
      <c r="O17" s="141"/>
    </row>
    <row r="18" spans="1:15" s="6" customFormat="1" ht="31.5">
      <c r="A18" s="8"/>
      <c r="B18" s="15" t="s">
        <v>206</v>
      </c>
      <c r="C18" s="59">
        <v>13030200</v>
      </c>
      <c r="D18" s="36">
        <v>19</v>
      </c>
      <c r="E18" s="143">
        <v>107.4</v>
      </c>
      <c r="F18" s="43">
        <f t="shared" si="0"/>
        <v>88.4</v>
      </c>
      <c r="G18" s="35">
        <f t="shared" si="2"/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1"/>
        <v>0</v>
      </c>
      <c r="M18" s="50" t="e">
        <f t="shared" si="3"/>
        <v>#DIV/0!</v>
      </c>
      <c r="N18" s="50"/>
      <c r="O18" s="126"/>
    </row>
    <row r="19" spans="1:15" s="6" customFormat="1" ht="47.25">
      <c r="A19" s="8"/>
      <c r="B19" s="60" t="s">
        <v>204</v>
      </c>
      <c r="C19" s="59">
        <v>14040000</v>
      </c>
      <c r="D19" s="43">
        <v>62210</v>
      </c>
      <c r="E19" s="168">
        <v>65039.71</v>
      </c>
      <c r="F19" s="43">
        <f t="shared" si="0"/>
        <v>2829.709999999999</v>
      </c>
      <c r="G19" s="35">
        <f t="shared" si="2"/>
        <v>104.54864169747628</v>
      </c>
      <c r="H19" s="179">
        <f>E19-0</f>
        <v>65039.71</v>
      </c>
      <c r="I19" s="180"/>
      <c r="J19" s="35">
        <f>D19-листопад!E19</f>
        <v>547.25</v>
      </c>
      <c r="K19" s="35">
        <f>E19-листопад!F19</f>
        <v>-499.26000000000204</v>
      </c>
      <c r="L19" s="47">
        <f t="shared" si="1"/>
        <v>-1046.510000000002</v>
      </c>
      <c r="M19" s="50">
        <f t="shared" si="3"/>
        <v>-91.23069894929229</v>
      </c>
      <c r="N19" s="139"/>
      <c r="O19" s="140"/>
    </row>
    <row r="20" spans="1:15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208786.71000000002</v>
      </c>
      <c r="F20" s="43">
        <f t="shared" si="0"/>
        <v>18916.71000000002</v>
      </c>
      <c r="G20" s="35">
        <f t="shared" si="2"/>
        <v>109.96297993363882</v>
      </c>
      <c r="H20" s="178">
        <f>H21+H25+H26+H27</f>
        <v>36355.91</v>
      </c>
      <c r="I20" s="136"/>
      <c r="J20" s="35">
        <f>D20-листопад!E20</f>
        <v>8546.5</v>
      </c>
      <c r="K20" s="35">
        <f>E20-листопад!F20</f>
        <v>1074.9000000000233</v>
      </c>
      <c r="L20" s="47">
        <f t="shared" si="1"/>
        <v>-7471.599999999977</v>
      </c>
      <c r="M20" s="50">
        <f t="shared" si="3"/>
        <v>12.577078336161273</v>
      </c>
      <c r="N20" s="139"/>
      <c r="O20" s="140"/>
    </row>
    <row r="21" spans="1:15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110206.1</v>
      </c>
      <c r="F21" s="43">
        <f t="shared" si="0"/>
        <v>-93.89999999999418</v>
      </c>
      <c r="G21" s="35">
        <f t="shared" si="2"/>
        <v>99.91486854034451</v>
      </c>
      <c r="H21" s="178">
        <f>H22+H23+H24</f>
        <v>27699.530000000006</v>
      </c>
      <c r="I21" s="136"/>
      <c r="J21" s="35">
        <f>D21-листопад!E21</f>
        <v>5785</v>
      </c>
      <c r="K21" s="35">
        <f>E21-листопад!F21</f>
        <v>455.79000000000815</v>
      </c>
      <c r="L21" s="47">
        <f t="shared" si="1"/>
        <v>-5329.209999999992</v>
      </c>
      <c r="M21" s="50">
        <f t="shared" si="3"/>
        <v>7.878824546240418</v>
      </c>
      <c r="N21" s="139"/>
      <c r="O21" s="140"/>
    </row>
    <row r="22" spans="1:15" s="6" customFormat="1" ht="15.75">
      <c r="A22" s="8"/>
      <c r="B22" s="69" t="s">
        <v>209</v>
      </c>
      <c r="C22" s="59"/>
      <c r="D22" s="135">
        <f>10600+100</f>
        <v>10700</v>
      </c>
      <c r="E22" s="144">
        <v>12761.91</v>
      </c>
      <c r="F22" s="135">
        <f t="shared" si="0"/>
        <v>2061.91</v>
      </c>
      <c r="G22" s="137">
        <f t="shared" si="2"/>
        <v>119.27018691588785</v>
      </c>
      <c r="H22" s="136">
        <f>E22-466.04</f>
        <v>12295.869999999999</v>
      </c>
      <c r="I22" s="136">
        <f>E22/466.04*100</f>
        <v>2738.372242725946</v>
      </c>
      <c r="J22" s="137">
        <f>D22-листопад!E22</f>
        <v>0</v>
      </c>
      <c r="K22" s="137">
        <f>E22-листопад!F22</f>
        <v>48.25</v>
      </c>
      <c r="L22" s="138">
        <f t="shared" si="1"/>
        <v>48.25</v>
      </c>
      <c r="M22" s="136" t="e">
        <f t="shared" si="3"/>
        <v>#DIV/0!</v>
      </c>
      <c r="N22" s="139"/>
      <c r="O22" s="140"/>
    </row>
    <row r="23" spans="1:15" s="6" customFormat="1" ht="15.75">
      <c r="A23" s="8"/>
      <c r="B23" s="69" t="s">
        <v>210</v>
      </c>
      <c r="C23" s="59"/>
      <c r="D23" s="135">
        <v>2100</v>
      </c>
      <c r="E23" s="144">
        <v>3687.53</v>
      </c>
      <c r="F23" s="135">
        <f t="shared" si="0"/>
        <v>1587.5300000000002</v>
      </c>
      <c r="G23" s="137">
        <f t="shared" si="2"/>
        <v>175.59666666666666</v>
      </c>
      <c r="H23" s="136">
        <f>E23-0</f>
        <v>3687.53</v>
      </c>
      <c r="I23" s="136"/>
      <c r="J23" s="137">
        <f>D23-листопад!E23</f>
        <v>0</v>
      </c>
      <c r="K23" s="137">
        <f>E23-листопад!F23</f>
        <v>38.33000000000038</v>
      </c>
      <c r="L23" s="138">
        <f t="shared" si="1"/>
        <v>38.33000000000038</v>
      </c>
      <c r="M23" s="136"/>
      <c r="N23" s="139"/>
      <c r="O23" s="140"/>
    </row>
    <row r="24" spans="1:15" s="6" customFormat="1" ht="15.75">
      <c r="A24" s="8"/>
      <c r="B24" s="69" t="s">
        <v>211</v>
      </c>
      <c r="C24" s="59"/>
      <c r="D24" s="135">
        <v>97500</v>
      </c>
      <c r="E24" s="144">
        <v>93756.66</v>
      </c>
      <c r="F24" s="135">
        <f t="shared" si="0"/>
        <v>-3743.3399999999965</v>
      </c>
      <c r="G24" s="137">
        <f t="shared" si="2"/>
        <v>96.16067692307692</v>
      </c>
      <c r="H24" s="224">
        <f>E24-82040.53</f>
        <v>11716.130000000005</v>
      </c>
      <c r="I24" s="224">
        <f>E24/82040.53*100</f>
        <v>114.28090481619269</v>
      </c>
      <c r="J24" s="137">
        <f>D24-листопад!E24</f>
        <v>5785</v>
      </c>
      <c r="K24" s="137">
        <f>E24-листопад!F24</f>
        <v>369.2100000000064</v>
      </c>
      <c r="L24" s="138">
        <f t="shared" si="1"/>
        <v>-5415.789999999994</v>
      </c>
      <c r="M24" s="136">
        <f t="shared" si="3"/>
        <v>6.382195332757242</v>
      </c>
      <c r="N24" s="139"/>
      <c r="O24" s="140"/>
    </row>
    <row r="25" spans="1:15" s="6" customFormat="1" ht="15.75">
      <c r="A25" s="8"/>
      <c r="B25" s="60" t="s">
        <v>244</v>
      </c>
      <c r="C25" s="170">
        <v>18030000</v>
      </c>
      <c r="D25" s="43">
        <v>70</v>
      </c>
      <c r="E25" s="168">
        <v>74.09</v>
      </c>
      <c r="F25" s="43">
        <f t="shared" si="0"/>
        <v>4.090000000000003</v>
      </c>
      <c r="G25" s="35">
        <f t="shared" si="2"/>
        <v>105.84285714285716</v>
      </c>
      <c r="H25" s="178">
        <f>E25-70.04</f>
        <v>4.049999999999997</v>
      </c>
      <c r="I25" s="178">
        <f>E25/70.04*100</f>
        <v>105.78241005139918</v>
      </c>
      <c r="J25" s="35">
        <f>D25-листопад!E25</f>
        <v>6.5</v>
      </c>
      <c r="K25" s="35">
        <f>E25-листопад!F25</f>
        <v>0</v>
      </c>
      <c r="L25" s="47">
        <f t="shared" si="1"/>
        <v>-6.5</v>
      </c>
      <c r="M25" s="50">
        <f t="shared" si="3"/>
        <v>0</v>
      </c>
      <c r="N25" s="139"/>
      <c r="O25" s="140"/>
    </row>
    <row r="26" spans="1:15" s="6" customFormat="1" ht="49.5" customHeight="1">
      <c r="A26" s="8"/>
      <c r="B26" s="60" t="s">
        <v>245</v>
      </c>
      <c r="C26" s="170">
        <v>18040000</v>
      </c>
      <c r="D26" s="43"/>
      <c r="E26" s="168">
        <v>-773.36</v>
      </c>
      <c r="F26" s="43">
        <f t="shared" si="0"/>
        <v>-773.36</v>
      </c>
      <c r="G26" s="35"/>
      <c r="H26" s="178">
        <f>E26-6380.73</f>
        <v>-7154.089999999999</v>
      </c>
      <c r="I26" s="178">
        <f>E26/6380.73*100</f>
        <v>-12.12024329504618</v>
      </c>
      <c r="J26" s="35">
        <f>D26-листопад!E26</f>
        <v>0</v>
      </c>
      <c r="K26" s="35">
        <f>E26-листопад!F26</f>
        <v>-0.4900000000000091</v>
      </c>
      <c r="L26" s="47">
        <f t="shared" si="1"/>
        <v>-0.4900000000000091</v>
      </c>
      <c r="M26" s="50"/>
      <c r="N26" s="139"/>
      <c r="O26" s="140"/>
    </row>
    <row r="27" spans="1:15" s="6" customFormat="1" ht="15.75">
      <c r="A27" s="8"/>
      <c r="B27" s="60" t="s">
        <v>246</v>
      </c>
      <c r="C27" s="170">
        <v>18050000</v>
      </c>
      <c r="D27" s="43">
        <v>79500</v>
      </c>
      <c r="E27" s="168">
        <v>99279.88</v>
      </c>
      <c r="F27" s="43">
        <f t="shared" si="0"/>
        <v>19779.880000000005</v>
      </c>
      <c r="G27" s="35">
        <f t="shared" si="2"/>
        <v>124.88035220125786</v>
      </c>
      <c r="H27" s="132">
        <f>E27-83473.46</f>
        <v>15806.419999999998</v>
      </c>
      <c r="I27" s="132">
        <f>E27/83473.46*100</f>
        <v>118.93586296770255</v>
      </c>
      <c r="J27" s="35">
        <f>D27-листопад!E27</f>
        <v>2755</v>
      </c>
      <c r="K27" s="35">
        <f>E27-листопад!F27</f>
        <v>619.6000000000058</v>
      </c>
      <c r="L27" s="47">
        <f t="shared" si="1"/>
        <v>-2135.399999999994</v>
      </c>
      <c r="M27" s="50">
        <f t="shared" si="3"/>
        <v>22.490018148820536</v>
      </c>
      <c r="N27" s="139"/>
      <c r="O27" s="140"/>
    </row>
    <row r="28" spans="1:15" s="6" customFormat="1" ht="15.7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0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D28-жовтень!E28</f>
        <v>0</v>
      </c>
      <c r="K28" s="137">
        <f>E28-вересень!F28</f>
        <v>0.020000000000000018</v>
      </c>
      <c r="L28" s="138">
        <f t="shared" si="1"/>
        <v>0.020000000000000018</v>
      </c>
      <c r="M28" s="136"/>
      <c r="N28" s="139"/>
      <c r="O28" s="140"/>
    </row>
    <row r="29" spans="1:15" s="6" customFormat="1" ht="15.75" hidden="1">
      <c r="A29" s="8"/>
      <c r="B29" s="69" t="s">
        <v>255</v>
      </c>
      <c r="C29" s="134">
        <v>18050300</v>
      </c>
      <c r="D29" s="135">
        <v>19200</v>
      </c>
      <c r="E29" s="144">
        <v>23808.36</v>
      </c>
      <c r="F29" s="135">
        <f t="shared" si="0"/>
        <v>4608.360000000001</v>
      </c>
      <c r="G29" s="137">
        <f t="shared" si="2"/>
        <v>124.001875</v>
      </c>
      <c r="H29" s="139">
        <f>E29-23041.29</f>
        <v>767.0699999999997</v>
      </c>
      <c r="I29" s="139">
        <f>E29/23041.29*100</f>
        <v>103.32911047949138</v>
      </c>
      <c r="J29" s="137">
        <f>D29-жовтень!E29</f>
        <v>1120</v>
      </c>
      <c r="K29" s="137">
        <f>E29-жовтень!F29</f>
        <v>3845.029999999999</v>
      </c>
      <c r="L29" s="138">
        <f t="shared" si="1"/>
        <v>2725.029999999999</v>
      </c>
      <c r="M29" s="136"/>
      <c r="N29" s="139"/>
      <c r="O29" s="140"/>
    </row>
    <row r="30" spans="1:15" s="6" customFormat="1" ht="15.75" hidden="1">
      <c r="A30" s="8"/>
      <c r="B30" s="69" t="s">
        <v>256</v>
      </c>
      <c r="C30" s="134">
        <v>18050400</v>
      </c>
      <c r="D30" s="135">
        <v>60300</v>
      </c>
      <c r="E30" s="144">
        <v>75440.16</v>
      </c>
      <c r="F30" s="135">
        <f t="shared" si="0"/>
        <v>15140.160000000003</v>
      </c>
      <c r="G30" s="137">
        <f t="shared" si="2"/>
        <v>125.10805970149255</v>
      </c>
      <c r="H30" s="139">
        <f>E30-60430.94</f>
        <v>15009.220000000001</v>
      </c>
      <c r="I30" s="139">
        <f>E30/60430.94*100</f>
        <v>124.83697920303737</v>
      </c>
      <c r="J30" s="137">
        <f>D30-жовтень!E30</f>
        <v>4520</v>
      </c>
      <c r="K30" s="137">
        <f>E30-жовтень!F30</f>
        <v>12710.670000000006</v>
      </c>
      <c r="L30" s="138">
        <f t="shared" si="1"/>
        <v>8190.6700000000055</v>
      </c>
      <c r="M30" s="136"/>
      <c r="N30" s="139"/>
      <c r="O30" s="140"/>
    </row>
    <row r="31" spans="1:15" s="6" customFormat="1" ht="15.75" hidden="1">
      <c r="A31" s="8"/>
      <c r="B31" s="69" t="s">
        <v>257</v>
      </c>
      <c r="C31" s="134">
        <v>18050500</v>
      </c>
      <c r="D31" s="135">
        <v>0</v>
      </c>
      <c r="E31" s="144">
        <v>32.51</v>
      </c>
      <c r="F31" s="135">
        <f t="shared" si="0"/>
        <v>32.51</v>
      </c>
      <c r="G31" s="137"/>
      <c r="H31" s="139">
        <f>E31-0</f>
        <v>32.51</v>
      </c>
      <c r="I31" s="139"/>
      <c r="J31" s="137">
        <f>D31-жовтень!E31</f>
        <v>0</v>
      </c>
      <c r="K31" s="137">
        <f>E31-жовтень!F31</f>
        <v>3.6199999999999974</v>
      </c>
      <c r="L31" s="138">
        <f t="shared" si="1"/>
        <v>3.6199999999999974</v>
      </c>
      <c r="M31" s="136"/>
      <c r="N31" s="139"/>
      <c r="O31" s="140"/>
    </row>
    <row r="32" spans="1:15" s="6" customFormat="1" ht="15.75">
      <c r="A32" s="8"/>
      <c r="B32" s="60" t="s">
        <v>132</v>
      </c>
      <c r="C32" s="59">
        <v>19010000</v>
      </c>
      <c r="D32" s="43">
        <v>7500</v>
      </c>
      <c r="E32" s="168">
        <v>6764.35</v>
      </c>
      <c r="F32" s="43">
        <f t="shared" si="0"/>
        <v>-735.6499999999996</v>
      </c>
      <c r="G32" s="35">
        <f t="shared" si="2"/>
        <v>90.19133333333333</v>
      </c>
      <c r="H32" s="178">
        <f>E32-9079.43</f>
        <v>-2315.08</v>
      </c>
      <c r="I32" s="178">
        <f>E32/9079.43*100</f>
        <v>74.50192357890309</v>
      </c>
      <c r="J32" s="35">
        <f>D32-листопад!E32</f>
        <v>0.1999999999998181</v>
      </c>
      <c r="K32" s="35">
        <f>E32-листопад!F32</f>
        <v>0</v>
      </c>
      <c r="L32" s="47">
        <f t="shared" si="1"/>
        <v>-0.1999999999998181</v>
      </c>
      <c r="M32" s="50">
        <f t="shared" si="3"/>
        <v>0</v>
      </c>
      <c r="N32" s="139"/>
      <c r="O32" s="140"/>
    </row>
    <row r="33" spans="1:15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E34+E35+E36+E37+E38+E41+E42+E47+E48+E52+E40+E39+E51</f>
        <v>46748.48</v>
      </c>
      <c r="F33" s="44">
        <f t="shared" si="0"/>
        <v>9408.910000000003</v>
      </c>
      <c r="G33" s="45">
        <f t="shared" si="2"/>
        <v>125.19822804601127</v>
      </c>
      <c r="H33" s="18">
        <f>H34+H35+H36+H37+H38+H41+H42+H47+H48+H52+H40</f>
        <v>33729.44</v>
      </c>
      <c r="I33" s="18"/>
      <c r="J33" s="18">
        <f>J34+J35+J36+J37+J38+J41+J42+J47+J48+J52+J40+J39</f>
        <v>1394.9999999999982</v>
      </c>
      <c r="K33" s="18">
        <f>K34+K35+K36+K37+K38+K41+K42+K47+K48+K52+K40+K39</f>
        <v>5006.6</v>
      </c>
      <c r="L33" s="49">
        <f t="shared" si="1"/>
        <v>3611.600000000002</v>
      </c>
      <c r="M33" s="31">
        <f>K33/J33*100</f>
        <v>358.89605734767076</v>
      </c>
      <c r="N33" s="31">
        <f>K33-1017.63</f>
        <v>3988.9700000000003</v>
      </c>
      <c r="O33" s="127">
        <f>K33/1017.63</f>
        <v>4.919862818509674</v>
      </c>
    </row>
    <row r="34" spans="1:15" s="6" customFormat="1" ht="47.25">
      <c r="A34" s="8"/>
      <c r="B34" s="60" t="s">
        <v>321</v>
      </c>
      <c r="C34" s="59">
        <v>21010301</v>
      </c>
      <c r="D34" s="36">
        <v>0</v>
      </c>
      <c r="E34" s="143">
        <v>0.38</v>
      </c>
      <c r="F34" s="43">
        <f t="shared" si="0"/>
        <v>0.38</v>
      </c>
      <c r="G34" s="35" t="e">
        <f t="shared" si="2"/>
        <v>#DIV/0!</v>
      </c>
      <c r="H34" s="50">
        <f>E34-153.52</f>
        <v>-153.14000000000001</v>
      </c>
      <c r="I34" s="50">
        <f>E34/153.52*100</f>
        <v>0.24752475247524752</v>
      </c>
      <c r="J34" s="35">
        <f>D34-листопад!E34</f>
        <v>-100</v>
      </c>
      <c r="K34" s="35">
        <f>E34-листопад!F34</f>
        <v>0.17</v>
      </c>
      <c r="L34" s="47">
        <f t="shared" si="1"/>
        <v>100.17</v>
      </c>
      <c r="M34" s="50">
        <f>K34/J34*100</f>
        <v>-0.17</v>
      </c>
      <c r="N34" s="50">
        <f>K34-0</f>
        <v>0.17</v>
      </c>
      <c r="O34" s="126" t="e">
        <f>K34/0</f>
        <v>#DIV/0!</v>
      </c>
    </row>
    <row r="35" spans="1:15" s="6" customFormat="1" ht="31.5">
      <c r="A35" s="8"/>
      <c r="B35" s="68" t="s">
        <v>214</v>
      </c>
      <c r="C35" s="57">
        <v>21050000</v>
      </c>
      <c r="D35" s="36">
        <v>9742.57</v>
      </c>
      <c r="E35" s="143">
        <v>17046.51</v>
      </c>
      <c r="F35" s="43">
        <f t="shared" si="0"/>
        <v>7303.939999999999</v>
      </c>
      <c r="G35" s="35">
        <f t="shared" si="2"/>
        <v>174.9693356065186</v>
      </c>
      <c r="H35" s="50">
        <f>E35-0</f>
        <v>17046.51</v>
      </c>
      <c r="I35" s="50" t="e">
        <f>E35/0*100</f>
        <v>#DIV/0!</v>
      </c>
      <c r="J35" s="35">
        <f>D35-листопад!E35</f>
        <v>159.09999999999854</v>
      </c>
      <c r="K35" s="35">
        <f>E35-листопад!F35</f>
        <v>4172.199999999999</v>
      </c>
      <c r="L35" s="47">
        <f t="shared" si="1"/>
        <v>4013.1000000000004</v>
      </c>
      <c r="M35" s="50"/>
      <c r="N35" s="50">
        <f>K35-0</f>
        <v>4172.199999999999</v>
      </c>
      <c r="O35" s="126" t="e">
        <f>K35/0</f>
        <v>#DIV/0!</v>
      </c>
    </row>
    <row r="36" spans="1:15" s="6" customFormat="1" ht="15.75">
      <c r="A36" s="8"/>
      <c r="B36" s="68" t="s">
        <v>169</v>
      </c>
      <c r="C36" s="57">
        <v>21080500</v>
      </c>
      <c r="D36" s="36">
        <v>240</v>
      </c>
      <c r="E36" s="143">
        <v>386.44</v>
      </c>
      <c r="F36" s="43">
        <f t="shared" si="0"/>
        <v>146.44</v>
      </c>
      <c r="G36" s="35">
        <f t="shared" si="2"/>
        <v>161.01666666666668</v>
      </c>
      <c r="H36" s="50">
        <f>E36-275.57</f>
        <v>110.87</v>
      </c>
      <c r="I36" s="50">
        <f>E36/275.57*100</f>
        <v>140.23297165874368</v>
      </c>
      <c r="J36" s="35">
        <f>D36-листопад!E36</f>
        <v>0</v>
      </c>
      <c r="K36" s="35">
        <f>E36-листопад!F36</f>
        <v>6.509999999999991</v>
      </c>
      <c r="L36" s="47">
        <f t="shared" si="1"/>
        <v>6.509999999999991</v>
      </c>
      <c r="M36" s="50"/>
      <c r="N36" s="50">
        <f>K36-4.23</f>
        <v>2.2799999999999905</v>
      </c>
      <c r="O36" s="126">
        <f>K36/4.23</f>
        <v>1.5390070921985792</v>
      </c>
    </row>
    <row r="37" spans="1:15" s="6" customFormat="1" ht="31.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0"/>
        <v>1.02</v>
      </c>
      <c r="G37" s="35" t="e">
        <f t="shared" si="2"/>
        <v>#DIV/0!</v>
      </c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"/>
        <v>4.5</v>
      </c>
      <c r="M37" s="50">
        <f>K37/J37*100</f>
        <v>0</v>
      </c>
      <c r="N37" s="50">
        <f>K37-0</f>
        <v>0</v>
      </c>
      <c r="O37" s="126"/>
    </row>
    <row r="38" spans="1:15" s="6" customFormat="1" ht="15.75">
      <c r="A38" s="8"/>
      <c r="B38" s="15" t="s">
        <v>90</v>
      </c>
      <c r="C38" s="95">
        <v>21081100</v>
      </c>
      <c r="D38" s="36">
        <v>140</v>
      </c>
      <c r="E38" s="143">
        <v>271.88</v>
      </c>
      <c r="F38" s="43">
        <f t="shared" si="0"/>
        <v>131.88</v>
      </c>
      <c r="G38" s="35">
        <f t="shared" si="2"/>
        <v>194.2</v>
      </c>
      <c r="H38" s="50">
        <f>E38-131.92</f>
        <v>139.96</v>
      </c>
      <c r="I38" s="50">
        <f>E38/131.92*100</f>
        <v>206.09460278956945</v>
      </c>
      <c r="J38" s="35">
        <f>D38-листопад!E38</f>
        <v>10</v>
      </c>
      <c r="K38" s="35">
        <f>E38-листопад!F38</f>
        <v>4.0400000000000205</v>
      </c>
      <c r="L38" s="47">
        <f t="shared" si="1"/>
        <v>-5.9599999999999795</v>
      </c>
      <c r="M38" s="50">
        <f>K38/J38*100</f>
        <v>40.400000000000205</v>
      </c>
      <c r="N38" s="50">
        <f>K38-9.02</f>
        <v>-4.979999999999979</v>
      </c>
      <c r="O38" s="126">
        <f>K38/9.02</f>
        <v>0.4478935698447917</v>
      </c>
    </row>
    <row r="39" spans="1:15" s="6" customFormat="1" ht="47.25" hidden="1">
      <c r="A39" s="8"/>
      <c r="B39" s="15" t="s">
        <v>225</v>
      </c>
      <c r="C39" s="67">
        <v>21081500</v>
      </c>
      <c r="D39" s="36"/>
      <c r="E39" s="143">
        <v>0</v>
      </c>
      <c r="F39" s="43">
        <f t="shared" si="0"/>
        <v>0</v>
      </c>
      <c r="G39" s="35"/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/>
      <c r="M39" s="50"/>
      <c r="N39" s="50"/>
      <c r="O39" s="126"/>
    </row>
    <row r="40" spans="1:15" s="6" customFormat="1" ht="15.75">
      <c r="A40" s="8"/>
      <c r="B40" s="41" t="s">
        <v>222</v>
      </c>
      <c r="C40" s="95">
        <v>22012500</v>
      </c>
      <c r="D40" s="36">
        <v>9000</v>
      </c>
      <c r="E40" s="143">
        <v>8950.7</v>
      </c>
      <c r="F40" s="43">
        <f t="shared" si="0"/>
        <v>-49.29999999999927</v>
      </c>
      <c r="G40" s="35">
        <f aca="true" t="shared" si="4" ref="G40:G46">E40/D40*100</f>
        <v>99.45222222222223</v>
      </c>
      <c r="H40" s="50">
        <f>E40-0</f>
        <v>8950.7</v>
      </c>
      <c r="I40" s="50"/>
      <c r="J40" s="35">
        <f>D40-листопад!E40</f>
        <v>100</v>
      </c>
      <c r="K40" s="35">
        <f>E40-листопад!F40</f>
        <v>66.06000000000131</v>
      </c>
      <c r="L40" s="47"/>
      <c r="M40" s="50"/>
      <c r="N40" s="50"/>
      <c r="O40" s="126"/>
    </row>
    <row r="41" spans="1:15" s="6" customFormat="1" ht="31.5">
      <c r="A41" s="8"/>
      <c r="B41" s="15" t="s">
        <v>78</v>
      </c>
      <c r="C41" s="67">
        <v>22080401</v>
      </c>
      <c r="D41" s="36">
        <v>6900</v>
      </c>
      <c r="E41" s="143">
        <v>8872.24</v>
      </c>
      <c r="F41" s="43">
        <f t="shared" si="0"/>
        <v>1972.2399999999998</v>
      </c>
      <c r="G41" s="35">
        <f t="shared" si="4"/>
        <v>128.5831884057971</v>
      </c>
      <c r="H41" s="50">
        <f>E41-7153.35</f>
        <v>1718.8899999999994</v>
      </c>
      <c r="I41" s="50">
        <f>E41/7153.35*100</f>
        <v>124.02916116225265</v>
      </c>
      <c r="J41" s="35">
        <f>D41-листопад!E41</f>
        <v>550</v>
      </c>
      <c r="K41" s="35">
        <f>E41-листопад!F41</f>
        <v>691.46</v>
      </c>
      <c r="L41" s="47">
        <f t="shared" si="1"/>
        <v>141.46000000000004</v>
      </c>
      <c r="M41" s="50">
        <f>K41/J41*100</f>
        <v>125.72000000000001</v>
      </c>
      <c r="N41" s="50">
        <f>K41-647.49</f>
        <v>43.97000000000003</v>
      </c>
      <c r="O41" s="126">
        <f>K41/647.49</f>
        <v>1.0679083846854778</v>
      </c>
    </row>
    <row r="42" spans="1:15" s="6" customFormat="1" ht="15.75">
      <c r="A42" s="8"/>
      <c r="B42" s="15" t="s">
        <v>80</v>
      </c>
      <c r="C42" s="59">
        <v>22090000</v>
      </c>
      <c r="D42" s="36">
        <v>7100</v>
      </c>
      <c r="E42" s="143">
        <v>6815.32</v>
      </c>
      <c r="F42" s="43">
        <f t="shared" si="0"/>
        <v>-284.6800000000003</v>
      </c>
      <c r="G42" s="35">
        <f t="shared" si="4"/>
        <v>95.99042253521127</v>
      </c>
      <c r="H42" s="50">
        <f>E42-1075.37</f>
        <v>5739.95</v>
      </c>
      <c r="I42" s="50">
        <f>E42/1075.37*100</f>
        <v>633.7651227019537</v>
      </c>
      <c r="J42" s="35">
        <f>D42-листопад!E42</f>
        <v>288.39999999999964</v>
      </c>
      <c r="K42" s="35">
        <f>E42-листопад!F42</f>
        <v>54</v>
      </c>
      <c r="L42" s="47">
        <f t="shared" si="1"/>
        <v>-234.39999999999964</v>
      </c>
      <c r="M42" s="50">
        <f>K42/J42*100</f>
        <v>18.723994452149817</v>
      </c>
      <c r="N42" s="50">
        <f>K42-79.51</f>
        <v>-25.510000000000005</v>
      </c>
      <c r="O42" s="126">
        <f>K42/79.51</f>
        <v>0.6791598541064017</v>
      </c>
    </row>
    <row r="43" spans="1:15" s="6" customFormat="1" ht="15.75" hidden="1">
      <c r="A43" s="8"/>
      <c r="B43" s="69" t="s">
        <v>271</v>
      </c>
      <c r="C43" s="204">
        <v>22090100</v>
      </c>
      <c r="D43" s="135">
        <v>1100</v>
      </c>
      <c r="E43" s="144">
        <v>1023.9</v>
      </c>
      <c r="F43" s="135">
        <f t="shared" si="0"/>
        <v>-76.10000000000002</v>
      </c>
      <c r="G43" s="35">
        <f t="shared" si="4"/>
        <v>93.08181818181818</v>
      </c>
      <c r="H43" s="136">
        <f>E43-948.18</f>
        <v>75.72000000000003</v>
      </c>
      <c r="I43" s="136">
        <f>E43/948.18*100</f>
        <v>107.9858254761754</v>
      </c>
      <c r="J43" s="35">
        <f>D43-листопад!E43</f>
        <v>90</v>
      </c>
      <c r="K43" s="35">
        <f>E43-листопад!F43</f>
        <v>6.279999999999973</v>
      </c>
      <c r="L43" s="138"/>
      <c r="M43" s="50"/>
      <c r="N43" s="50"/>
      <c r="O43" s="126"/>
    </row>
    <row r="44" spans="1:15" s="6" customFormat="1" ht="15.75" hidden="1">
      <c r="A44" s="8"/>
      <c r="B44" s="69" t="s">
        <v>268</v>
      </c>
      <c r="C44" s="204">
        <v>22090200</v>
      </c>
      <c r="D44" s="135">
        <v>80</v>
      </c>
      <c r="E44" s="144">
        <v>44.15</v>
      </c>
      <c r="F44" s="135">
        <f t="shared" si="0"/>
        <v>-35.85</v>
      </c>
      <c r="G44" s="35">
        <f t="shared" si="4"/>
        <v>55.1875</v>
      </c>
      <c r="H44" s="136">
        <f>E44-0</f>
        <v>44.15</v>
      </c>
      <c r="I44" s="136"/>
      <c r="J44" s="35">
        <f>D44-листопад!E44</f>
        <v>0</v>
      </c>
      <c r="K44" s="35">
        <f>E44-листопад!F44</f>
        <v>0</v>
      </c>
      <c r="L44" s="138"/>
      <c r="M44" s="50"/>
      <c r="N44" s="50"/>
      <c r="O44" s="126"/>
    </row>
    <row r="45" spans="1:15" s="6" customFormat="1" ht="15.7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0"/>
        <v>-1.25</v>
      </c>
      <c r="G45" s="35">
        <f t="shared" si="4"/>
        <v>37.5</v>
      </c>
      <c r="H45" s="136">
        <f>E45-0</f>
        <v>0.75</v>
      </c>
      <c r="I45" s="136"/>
      <c r="J45" s="35">
        <f>D45-листопад!E45</f>
        <v>0.3999999999999999</v>
      </c>
      <c r="K45" s="35">
        <f>E45-листопад!F45</f>
        <v>0</v>
      </c>
      <c r="L45" s="138"/>
      <c r="M45" s="50"/>
      <c r="N45" s="50"/>
      <c r="O45" s="126"/>
    </row>
    <row r="46" spans="1:15" s="6" customFormat="1" ht="15.75" hidden="1">
      <c r="A46" s="8"/>
      <c r="B46" s="69" t="s">
        <v>270</v>
      </c>
      <c r="C46" s="204">
        <v>22090400</v>
      </c>
      <c r="D46" s="135">
        <v>5918</v>
      </c>
      <c r="E46" s="144">
        <v>5746.53</v>
      </c>
      <c r="F46" s="135">
        <f t="shared" si="0"/>
        <v>-171.47000000000025</v>
      </c>
      <c r="G46" s="35">
        <f t="shared" si="4"/>
        <v>97.1025684352822</v>
      </c>
      <c r="H46" s="136">
        <f>E46-127.2</f>
        <v>5619.33</v>
      </c>
      <c r="I46" s="136">
        <f>E46/127.2*100</f>
        <v>4517.712264150943</v>
      </c>
      <c r="J46" s="35">
        <f>D46-листопад!E46</f>
        <v>198</v>
      </c>
      <c r="K46" s="35">
        <f>E46-листопад!F46</f>
        <v>47.72999999999956</v>
      </c>
      <c r="L46" s="138"/>
      <c r="M46" s="50"/>
      <c r="N46" s="50"/>
      <c r="O46" s="126"/>
    </row>
    <row r="47" spans="1:15" s="6" customFormat="1" ht="47.25">
      <c r="A47" s="8"/>
      <c r="B47" s="15" t="s">
        <v>96</v>
      </c>
      <c r="C47" s="13" t="s">
        <v>97</v>
      </c>
      <c r="D47" s="36">
        <v>4</v>
      </c>
      <c r="E47" s="143">
        <v>3.89</v>
      </c>
      <c r="F47" s="43">
        <f t="shared" si="0"/>
        <v>-0.10999999999999988</v>
      </c>
      <c r="G47" s="35"/>
      <c r="H47" s="50">
        <f>E47-7.58</f>
        <v>-3.69</v>
      </c>
      <c r="I47" s="50"/>
      <c r="J47" s="35">
        <f>D47-листопад!E47</f>
        <v>4</v>
      </c>
      <c r="K47" s="35">
        <f>E47-листопад!F47</f>
        <v>0</v>
      </c>
      <c r="L47" s="47">
        <f t="shared" si="1"/>
        <v>-4</v>
      </c>
      <c r="M47" s="50"/>
      <c r="N47" s="50">
        <f>K47-0</f>
        <v>0</v>
      </c>
      <c r="O47" s="126"/>
    </row>
    <row r="48" spans="1:15" s="6" customFormat="1" ht="15.75" customHeight="1">
      <c r="A48" s="8"/>
      <c r="B48" s="14" t="s">
        <v>73</v>
      </c>
      <c r="C48" s="13" t="s">
        <v>99</v>
      </c>
      <c r="D48" s="36">
        <v>4200</v>
      </c>
      <c r="E48" s="143">
        <v>4379.98</v>
      </c>
      <c r="F48" s="43">
        <f t="shared" si="0"/>
        <v>179.97999999999956</v>
      </c>
      <c r="G48" s="35">
        <f>E48/D48*100</f>
        <v>104.28523809523809</v>
      </c>
      <c r="H48" s="50">
        <f>E48-4202.1</f>
        <v>177.8799999999992</v>
      </c>
      <c r="I48" s="50">
        <f>E48/4202.1*100</f>
        <v>104.23312153447084</v>
      </c>
      <c r="J48" s="35">
        <f>D48-листопад!E48</f>
        <v>380</v>
      </c>
      <c r="K48" s="35">
        <f>E48-листопад!F48</f>
        <v>12.159999999999854</v>
      </c>
      <c r="L48" s="47">
        <f t="shared" si="1"/>
        <v>-367.84000000000015</v>
      </c>
      <c r="M48" s="50">
        <f aca="true" t="shared" si="5" ref="M48:M53">K48/J48*100</f>
        <v>3.199999999999962</v>
      </c>
      <c r="N48" s="50">
        <f>K48-277.38</f>
        <v>-265.22000000000014</v>
      </c>
      <c r="O48" s="126">
        <f>K48/277.38</f>
        <v>0.04383877712884799</v>
      </c>
    </row>
    <row r="49" spans="1:15" s="6" customFormat="1" ht="15.7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0"/>
        <v>0</v>
      </c>
      <c r="G49" s="35" t="e">
        <f>E49/D49*100</f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"/>
        <v>0</v>
      </c>
      <c r="M49" s="50" t="e">
        <f t="shared" si="5"/>
        <v>#DIV/0!</v>
      </c>
      <c r="N49" s="50"/>
      <c r="O49" s="126">
        <f>K49/277.38</f>
        <v>0</v>
      </c>
    </row>
    <row r="50" spans="1:15" s="6" customFormat="1" ht="31.5">
      <c r="A50" s="8"/>
      <c r="B50" s="69" t="s">
        <v>127</v>
      </c>
      <c r="C50" s="83"/>
      <c r="D50" s="135"/>
      <c r="E50" s="144">
        <v>1143.8</v>
      </c>
      <c r="F50" s="135">
        <f t="shared" si="0"/>
        <v>1143.8</v>
      </c>
      <c r="G50" s="137"/>
      <c r="H50" s="138">
        <f>E50-1023.35</f>
        <v>120.44999999999993</v>
      </c>
      <c r="I50" s="138">
        <f>E50/1023.35*100</f>
        <v>111.77016660966433</v>
      </c>
      <c r="J50" s="137">
        <f>D50-листопад!E50</f>
        <v>0</v>
      </c>
      <c r="K50" s="35">
        <f>E50-листопад!F50</f>
        <v>1.7999999999999545</v>
      </c>
      <c r="L50" s="138">
        <f t="shared" si="1"/>
        <v>1.7999999999999545</v>
      </c>
      <c r="M50" s="136"/>
      <c r="N50" s="50">
        <f>K50-64.93</f>
        <v>-63.13000000000005</v>
      </c>
      <c r="O50" s="126">
        <f>K50/64.93</f>
        <v>0.027722162328660933</v>
      </c>
    </row>
    <row r="51" spans="1:15" s="6" customFormat="1" ht="15.75">
      <c r="A51" s="8"/>
      <c r="B51" s="14" t="s">
        <v>100</v>
      </c>
      <c r="C51" s="225" t="s">
        <v>101</v>
      </c>
      <c r="D51" s="43">
        <v>0</v>
      </c>
      <c r="E51" s="144">
        <v>0.07</v>
      </c>
      <c r="F51" s="135"/>
      <c r="G51" s="137"/>
      <c r="H51" s="138"/>
      <c r="I51" s="138"/>
      <c r="J51" s="229">
        <f>D51-листопад!E51</f>
        <v>0</v>
      </c>
      <c r="K51" s="229">
        <f>E51-листопад!F51</f>
        <v>0</v>
      </c>
      <c r="L51" s="47"/>
      <c r="M51" s="178"/>
      <c r="N51" s="50"/>
      <c r="O51" s="126"/>
    </row>
    <row r="52" spans="1:15" s="6" customFormat="1" ht="44.25" customHeight="1">
      <c r="A52" s="8"/>
      <c r="B52" s="14" t="s">
        <v>128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>E52/D52*100</f>
        <v>154.23076923076923</v>
      </c>
      <c r="H52" s="50">
        <f>E52-13.28</f>
        <v>6.770000000000001</v>
      </c>
      <c r="I52" s="50">
        <f>E52/13.28*100</f>
        <v>150.97891566265062</v>
      </c>
      <c r="J52" s="229">
        <f>D52-листопад!E52</f>
        <v>8</v>
      </c>
      <c r="K52" s="229">
        <f>E52-листопад!F52</f>
        <v>0</v>
      </c>
      <c r="L52" s="47">
        <f t="shared" si="1"/>
        <v>-8</v>
      </c>
      <c r="M52" s="50"/>
      <c r="N52" s="50"/>
      <c r="O52" s="126"/>
    </row>
    <row r="53" spans="1:15" s="6" customFormat="1" ht="31.5">
      <c r="A53" s="8"/>
      <c r="B53" s="14" t="s">
        <v>129</v>
      </c>
      <c r="C53" s="59">
        <v>31010200</v>
      </c>
      <c r="D53" s="36">
        <v>26.5</v>
      </c>
      <c r="E53" s="143">
        <v>28.08</v>
      </c>
      <c r="F53" s="43">
        <f t="shared" si="0"/>
        <v>1.5799999999999983</v>
      </c>
      <c r="G53" s="35">
        <f>E53/D53*100</f>
        <v>105.96226415094338</v>
      </c>
      <c r="H53" s="50">
        <f>E53-26.43</f>
        <v>1.6499999999999986</v>
      </c>
      <c r="I53" s="50">
        <f>E53/26.43*100</f>
        <v>106.24290578887627</v>
      </c>
      <c r="J53" s="229">
        <f>D53-листопад!E53</f>
        <v>2.6999999999999993</v>
      </c>
      <c r="K53" s="229">
        <f>E53-листопад!F53</f>
        <v>0</v>
      </c>
      <c r="L53" s="47">
        <f t="shared" si="1"/>
        <v>-2.6999999999999993</v>
      </c>
      <c r="M53" s="50">
        <f t="shared" si="5"/>
        <v>0</v>
      </c>
      <c r="N53" s="50"/>
      <c r="O53" s="126"/>
    </row>
    <row r="54" spans="1:15" s="6" customFormat="1" ht="31.5">
      <c r="A54" s="8"/>
      <c r="B54" s="14" t="s">
        <v>165</v>
      </c>
      <c r="C54" s="59">
        <v>31020000</v>
      </c>
      <c r="D54" s="36">
        <v>0</v>
      </c>
      <c r="E54" s="143">
        <v>0.54</v>
      </c>
      <c r="F54" s="43">
        <f t="shared" si="0"/>
        <v>0.54</v>
      </c>
      <c r="G54" s="35"/>
      <c r="H54" s="50">
        <f>E54-0.38</f>
        <v>0.16000000000000003</v>
      </c>
      <c r="I54" s="50"/>
      <c r="J54" s="35">
        <f>D54-листопад!E54</f>
        <v>0</v>
      </c>
      <c r="K54" s="35">
        <f>E54-листопад!F54</f>
        <v>0</v>
      </c>
      <c r="L54" s="47">
        <f t="shared" si="1"/>
        <v>0</v>
      </c>
      <c r="M54" s="50"/>
      <c r="N54" s="50"/>
      <c r="O54" s="126"/>
    </row>
    <row r="55" spans="1:19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658647.9</v>
      </c>
      <c r="F55" s="44">
        <f>E55-D55</f>
        <v>48992.830000000075</v>
      </c>
      <c r="G55" s="45">
        <f>E55/D55*100</f>
        <v>108.03615559204651</v>
      </c>
      <c r="H55" s="31">
        <f>H8+H33+H53+H54</f>
        <v>153169.698</v>
      </c>
      <c r="I55" s="31">
        <f>E55/(E55-H55)*100</f>
        <v>130.301939310926</v>
      </c>
      <c r="J55" s="18">
        <f>J8+J33+J53+J54</f>
        <v>33043.13</v>
      </c>
      <c r="K55" s="18">
        <f>K8+K33+K53+K54</f>
        <v>8067.619999999968</v>
      </c>
      <c r="L55" s="49">
        <f>K55-J55</f>
        <v>-24975.51000000003</v>
      </c>
      <c r="M55" s="31">
        <f>K55/J55*100</f>
        <v>24.415423115183003</v>
      </c>
      <c r="N55" s="31">
        <f>K55-34768</f>
        <v>-26700.380000000034</v>
      </c>
      <c r="O55" s="171">
        <f>K55/34768</f>
        <v>0.2320415324436254</v>
      </c>
      <c r="P55" s="172"/>
      <c r="Q55" s="166"/>
      <c r="R55" s="175"/>
      <c r="S55" s="175"/>
    </row>
    <row r="56" spans="1:15" s="66" customFormat="1" ht="18.7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8.7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8.7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.7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.7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1.5">
      <c r="B61" s="26" t="s">
        <v>170</v>
      </c>
      <c r="C61" s="97">
        <v>18041500</v>
      </c>
      <c r="D61" s="28">
        <v>0</v>
      </c>
      <c r="E61" s="146">
        <v>-55.72</v>
      </c>
      <c r="F61" s="43">
        <f aca="true" t="shared" si="6" ref="F61:F68">E61-D61</f>
        <v>-55.72</v>
      </c>
      <c r="G61" s="35"/>
      <c r="H61" s="47">
        <f>E61-308.57</f>
        <v>-364.28999999999996</v>
      </c>
      <c r="I61" s="53"/>
      <c r="J61" s="35">
        <v>0</v>
      </c>
      <c r="K61" s="36">
        <f>E61-листопад!F61</f>
        <v>0</v>
      </c>
      <c r="L61" s="47">
        <f aca="true" t="shared" si="7" ref="L61:L68">K61-J61</f>
        <v>0</v>
      </c>
      <c r="M61" s="53"/>
      <c r="N61" s="53">
        <f>K61-24.53</f>
        <v>-24.53</v>
      </c>
      <c r="O61" s="129">
        <f>K61/24.53</f>
        <v>0</v>
      </c>
    </row>
    <row r="62" spans="2:15" ht="15.75">
      <c r="B62" s="32" t="s">
        <v>130</v>
      </c>
      <c r="C62" s="98"/>
      <c r="D62" s="33">
        <f>D61</f>
        <v>0</v>
      </c>
      <c r="E62" s="145">
        <f>SUM(E60:E61)</f>
        <v>-55.72</v>
      </c>
      <c r="F62" s="55">
        <f t="shared" si="6"/>
        <v>-55.72</v>
      </c>
      <c r="G62" s="65"/>
      <c r="H62" s="54">
        <f>H60+H61</f>
        <v>-364.28999999999996</v>
      </c>
      <c r="I62" s="54"/>
      <c r="J62" s="55">
        <f>J61</f>
        <v>0</v>
      </c>
      <c r="K62" s="33">
        <f>SUM(K60:K61)</f>
        <v>0</v>
      </c>
      <c r="L62" s="54">
        <f t="shared" si="7"/>
        <v>0</v>
      </c>
      <c r="M62" s="54"/>
      <c r="N62" s="54">
        <f>K62-92.85</f>
        <v>-92.85</v>
      </c>
      <c r="O62" s="130">
        <f>K62/92.85</f>
        <v>0</v>
      </c>
    </row>
    <row r="63" spans="2:15" ht="47.25" hidden="1">
      <c r="B63" s="26" t="s">
        <v>121</v>
      </c>
      <c r="C63" s="98">
        <v>21110000</v>
      </c>
      <c r="D63" s="28"/>
      <c r="E63" s="146">
        <v>0</v>
      </c>
      <c r="F63" s="43">
        <f t="shared" si="6"/>
        <v>0</v>
      </c>
      <c r="G63" s="35" t="e">
        <f>E63/D63*100</f>
        <v>#DIV/0!</v>
      </c>
      <c r="H63" s="53"/>
      <c r="I63" s="53"/>
      <c r="J63" s="36">
        <v>0</v>
      </c>
      <c r="K63" s="36">
        <f>E63</f>
        <v>0</v>
      </c>
      <c r="L63" s="47">
        <f t="shared" si="7"/>
        <v>0</v>
      </c>
      <c r="M63" s="53"/>
      <c r="N63" s="53"/>
      <c r="O63" s="129"/>
    </row>
    <row r="64" spans="2:15" ht="31.5">
      <c r="B64" s="26" t="s">
        <v>111</v>
      </c>
      <c r="C64" s="97">
        <v>31030000</v>
      </c>
      <c r="D64" s="28">
        <v>2500</v>
      </c>
      <c r="E64" s="146">
        <v>619.03</v>
      </c>
      <c r="F64" s="43">
        <f t="shared" si="6"/>
        <v>-1880.97</v>
      </c>
      <c r="G64" s="35"/>
      <c r="H64" s="53">
        <f>E64-2169.35</f>
        <v>-1550.32</v>
      </c>
      <c r="I64" s="53">
        <f>E64/2169.35*100</f>
        <v>28.535275543365522</v>
      </c>
      <c r="J64" s="35">
        <f>D64-листопад!E64</f>
        <v>0</v>
      </c>
      <c r="K64" s="35">
        <f>E64-листопад!F64</f>
        <v>0.029999999999972715</v>
      </c>
      <c r="L64" s="47">
        <f t="shared" si="7"/>
        <v>0.029999999999972715</v>
      </c>
      <c r="M64" s="53"/>
      <c r="N64" s="53">
        <f>K64-0.04</f>
        <v>-0.010000000000027286</v>
      </c>
      <c r="O64" s="129">
        <f>K64/0.04</f>
        <v>0.7499999999993179</v>
      </c>
    </row>
    <row r="65" spans="2:15" ht="15.75">
      <c r="B65" s="26" t="s">
        <v>112</v>
      </c>
      <c r="C65" s="97">
        <v>33010000</v>
      </c>
      <c r="D65" s="28">
        <v>11576</v>
      </c>
      <c r="E65" s="146">
        <v>8309.28</v>
      </c>
      <c r="F65" s="43">
        <f t="shared" si="6"/>
        <v>-3266.7199999999993</v>
      </c>
      <c r="G65" s="35">
        <f>E65/D65*100</f>
        <v>71.78023496890118</v>
      </c>
      <c r="H65" s="53">
        <f>E65-3883.56</f>
        <v>4425.720000000001</v>
      </c>
      <c r="I65" s="53">
        <f>E65/3883.56*100</f>
        <v>213.96038686153943</v>
      </c>
      <c r="J65" s="35">
        <f>D65-листопад!E65</f>
        <v>3815.2700000000004</v>
      </c>
      <c r="K65" s="35">
        <f>E65-листопад!F65</f>
        <v>96.29000000000087</v>
      </c>
      <c r="L65" s="47">
        <f t="shared" si="7"/>
        <v>-3718.9799999999996</v>
      </c>
      <c r="M65" s="53">
        <f>K65/J65*100</f>
        <v>2.5238056546456966</v>
      </c>
      <c r="N65" s="53">
        <f>K65-450.01</f>
        <v>-353.7199999999991</v>
      </c>
      <c r="O65" s="129">
        <f>K65/450.01</f>
        <v>0.213973022821717</v>
      </c>
    </row>
    <row r="66" spans="2:15" ht="31.5">
      <c r="B66" s="26" t="s">
        <v>156</v>
      </c>
      <c r="C66" s="97">
        <v>24170000</v>
      </c>
      <c r="D66" s="28">
        <v>3000</v>
      </c>
      <c r="E66" s="146">
        <v>2292.73</v>
      </c>
      <c r="F66" s="43">
        <f t="shared" si="6"/>
        <v>-707.27</v>
      </c>
      <c r="G66" s="35">
        <f>E66/D66*100</f>
        <v>76.42433333333334</v>
      </c>
      <c r="H66" s="53">
        <f>E66-2054.62</f>
        <v>238.11000000000013</v>
      </c>
      <c r="I66" s="53">
        <f>E66/2054.62*100</f>
        <v>111.58900429276461</v>
      </c>
      <c r="J66" s="35">
        <f>D66-листопад!E66</f>
        <v>1519</v>
      </c>
      <c r="K66" s="35">
        <f>E66-листопад!F66</f>
        <v>0</v>
      </c>
      <c r="L66" s="47">
        <f t="shared" si="7"/>
        <v>-1519</v>
      </c>
      <c r="M66" s="53">
        <f>K66/J66*100</f>
        <v>0</v>
      </c>
      <c r="N66" s="53">
        <f>K66-1.05</f>
        <v>-1.05</v>
      </c>
      <c r="O66" s="129">
        <f>K66/1.05</f>
        <v>0</v>
      </c>
    </row>
    <row r="67" spans="2:16" ht="34.5">
      <c r="B67" s="32" t="s">
        <v>144</v>
      </c>
      <c r="C67" s="87"/>
      <c r="D67" s="33">
        <f>D64+D65+D66</f>
        <v>17076</v>
      </c>
      <c r="E67" s="145">
        <f>E64+E65+E66</f>
        <v>11221.04</v>
      </c>
      <c r="F67" s="55">
        <f t="shared" si="6"/>
        <v>-5854.959999999999</v>
      </c>
      <c r="G67" s="65">
        <f>E67/D67*100</f>
        <v>65.71234481143125</v>
      </c>
      <c r="H67" s="54">
        <f>H64+H65+H66</f>
        <v>3113.5100000000016</v>
      </c>
      <c r="I67" s="54"/>
      <c r="J67" s="55">
        <f>J64+J65+J66</f>
        <v>5334.27</v>
      </c>
      <c r="K67" s="55">
        <f>K64+K65+K66</f>
        <v>96.32000000000085</v>
      </c>
      <c r="L67" s="54">
        <f t="shared" si="7"/>
        <v>-5237.95</v>
      </c>
      <c r="M67" s="54">
        <f>K67/J67*100</f>
        <v>1.8056828769447524</v>
      </c>
      <c r="N67" s="54">
        <f>K67-7985.28</f>
        <v>-7888.959999999999</v>
      </c>
      <c r="O67" s="173">
        <f>K67/7985.28</f>
        <v>0.012062194437765595</v>
      </c>
      <c r="P67" s="174"/>
    </row>
    <row r="68" spans="2:15" ht="47.25">
      <c r="B68" s="14" t="s">
        <v>124</v>
      </c>
      <c r="C68" s="100">
        <v>24062100</v>
      </c>
      <c r="D68" s="28">
        <v>35</v>
      </c>
      <c r="E68" s="146">
        <v>0.35</v>
      </c>
      <c r="F68" s="43">
        <f t="shared" si="6"/>
        <v>-34.65</v>
      </c>
      <c r="G68" s="35">
        <f>E68/D68*100</f>
        <v>1</v>
      </c>
      <c r="H68" s="53">
        <f>E68-35.22</f>
        <v>-34.87</v>
      </c>
      <c r="I68" s="53">
        <f>E68/35.22*100</f>
        <v>0.9937535491198182</v>
      </c>
      <c r="J68" s="35">
        <f>D68-листопад!E68</f>
        <v>0</v>
      </c>
      <c r="K68" s="35">
        <f>E68-листопад!F68</f>
        <v>0</v>
      </c>
      <c r="L68" s="47">
        <f t="shared" si="7"/>
        <v>0</v>
      </c>
      <c r="M68" s="53"/>
      <c r="N68" s="53">
        <f>K68-0.16</f>
        <v>-0.16</v>
      </c>
      <c r="O68" s="129">
        <f>K68/0.16</f>
        <v>0</v>
      </c>
    </row>
    <row r="69" spans="2:15" ht="15.75">
      <c r="B69" s="26" t="s">
        <v>146</v>
      </c>
      <c r="C69" s="97">
        <v>24061600</v>
      </c>
      <c r="D69" s="28">
        <v>19</v>
      </c>
      <c r="E69" s="146">
        <v>0</v>
      </c>
      <c r="F69" s="43"/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/>
      <c r="M69" s="56"/>
      <c r="N69" s="56">
        <f>K69-8.76</f>
        <v>-8.76</v>
      </c>
      <c r="O69" s="131">
        <f>K69/8.76</f>
        <v>0</v>
      </c>
    </row>
    <row r="70" spans="2:15" ht="31.5">
      <c r="B70" s="26" t="s">
        <v>140</v>
      </c>
      <c r="C70" s="97">
        <v>19050000</v>
      </c>
      <c r="D70" s="28">
        <v>0</v>
      </c>
      <c r="E70" s="146">
        <v>1.31</v>
      </c>
      <c r="F70" s="43">
        <f>E70-D70</f>
        <v>1.31</v>
      </c>
      <c r="G70" s="35"/>
      <c r="H70" s="53">
        <f>E70-1.59</f>
        <v>-0.28</v>
      </c>
      <c r="I70" s="53">
        <f>E70/1.59*100</f>
        <v>82.38993710691824</v>
      </c>
      <c r="J70" s="35">
        <f>D70-листопад!E70</f>
        <v>0</v>
      </c>
      <c r="K70" s="35">
        <f>E70-листопад!F70</f>
        <v>0</v>
      </c>
      <c r="L70" s="47">
        <f>K70-J70</f>
        <v>0</v>
      </c>
      <c r="M70" s="53"/>
      <c r="N70" s="53">
        <f>K70-(-0.21)</f>
        <v>0.21</v>
      </c>
      <c r="O70" s="129"/>
    </row>
    <row r="71" spans="2:15" ht="31.5">
      <c r="B71" s="32" t="s">
        <v>134</v>
      </c>
      <c r="C71" s="97"/>
      <c r="D71" s="33">
        <f>D68+D70+D69</f>
        <v>54</v>
      </c>
      <c r="E71" s="145">
        <f>E68+E70+E69</f>
        <v>1.6600000000000001</v>
      </c>
      <c r="F71" s="55">
        <f>E71-D71</f>
        <v>-52.34</v>
      </c>
      <c r="G71" s="65">
        <f>E71/D71*100</f>
        <v>3.0740740740740744</v>
      </c>
      <c r="H71" s="54">
        <f>H68+H69+H70</f>
        <v>-54.629999999999995</v>
      </c>
      <c r="I71" s="54"/>
      <c r="J71" s="55">
        <f>J68+J70+J69</f>
        <v>5</v>
      </c>
      <c r="K71" s="55">
        <f>K68+K70+K69</f>
        <v>0</v>
      </c>
      <c r="L71" s="54">
        <f>K71-J71</f>
        <v>-5</v>
      </c>
      <c r="M71" s="54"/>
      <c r="N71" s="54">
        <f>K71-26.38</f>
        <v>-26.38</v>
      </c>
      <c r="O71" s="128">
        <f>K71/26.38</f>
        <v>0</v>
      </c>
    </row>
    <row r="72" spans="2:15" ht="31.5">
      <c r="B72" s="14" t="s">
        <v>125</v>
      </c>
      <c r="C72" s="59">
        <v>24110900</v>
      </c>
      <c r="D72" s="28">
        <v>42</v>
      </c>
      <c r="E72" s="146">
        <v>30.61</v>
      </c>
      <c r="F72" s="43">
        <f>E72-D72</f>
        <v>-11.39</v>
      </c>
      <c r="G72" s="35">
        <f>E72/D72*100</f>
        <v>72.88095238095238</v>
      </c>
      <c r="H72" s="53">
        <f>E72-42.71</f>
        <v>-12.100000000000001</v>
      </c>
      <c r="I72" s="53">
        <f>E72/42.71*100</f>
        <v>71.6693982673847</v>
      </c>
      <c r="J72" s="35">
        <f>D72-листопад!E72</f>
        <v>7.579999999999998</v>
      </c>
      <c r="K72" s="35">
        <f>E72-листопад!F72</f>
        <v>0</v>
      </c>
      <c r="L72" s="47">
        <f>K72-J72</f>
        <v>-7.579999999999998</v>
      </c>
      <c r="M72" s="53">
        <f>K72/J72*100</f>
        <v>0</v>
      </c>
      <c r="N72" s="53">
        <f>K72-0.45</f>
        <v>-0.45</v>
      </c>
      <c r="O72" s="129">
        <f>K72/0.45</f>
        <v>0</v>
      </c>
    </row>
    <row r="73" spans="2:15" ht="15.7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11197.79</v>
      </c>
      <c r="F74" s="44">
        <f>E74-D74</f>
        <v>-5974.209999999999</v>
      </c>
      <c r="G74" s="45">
        <f>E74/D74*100</f>
        <v>65.20958537153506</v>
      </c>
      <c r="H74" s="31">
        <f>H62+H67+H71+H72</f>
        <v>2682.4900000000016</v>
      </c>
      <c r="I74" s="31"/>
      <c r="J74" s="27">
        <f>J62+J72+J67+J71</f>
        <v>5346.85</v>
      </c>
      <c r="K74" s="27">
        <f>K62+K72+K67+K71+K73</f>
        <v>96.32000000000085</v>
      </c>
      <c r="L74" s="31">
        <f>K74-J74</f>
        <v>-5250.53</v>
      </c>
      <c r="M74" s="31">
        <f>K74/J74*100</f>
        <v>1.801434489465776</v>
      </c>
      <c r="N74" s="31">
        <f>K74-8104.96</f>
        <v>-8008.639999999999</v>
      </c>
      <c r="O74" s="127">
        <f>K74/8104.96</f>
        <v>0.011884080859128341</v>
      </c>
    </row>
    <row r="75" spans="2:15" ht="18.75">
      <c r="B75" s="24" t="s">
        <v>115</v>
      </c>
      <c r="C75" s="88"/>
      <c r="D75" s="27">
        <f>D55+D74</f>
        <v>626827.07</v>
      </c>
      <c r="E75" s="27">
        <f>E55+E74</f>
        <v>669845.6900000001</v>
      </c>
      <c r="F75" s="44">
        <f>E75-D75</f>
        <v>43018.62000000011</v>
      </c>
      <c r="G75" s="45">
        <f>E75/D75*100</f>
        <v>106.86291675310066</v>
      </c>
      <c r="H75" s="31">
        <f>H55+H74</f>
        <v>155852.188</v>
      </c>
      <c r="I75" s="31">
        <f>E75/(E75-H75)*100</f>
        <v>130.32182068325056</v>
      </c>
      <c r="J75" s="18">
        <f>J55+J74</f>
        <v>38389.979999999996</v>
      </c>
      <c r="K75" s="18">
        <f>K55+K74</f>
        <v>8163.939999999969</v>
      </c>
      <c r="L75" s="31">
        <f>K75-J75</f>
        <v>-30226.040000000026</v>
      </c>
      <c r="M75" s="31">
        <f>K75/J75*100</f>
        <v>21.265809463823555</v>
      </c>
      <c r="N75" s="31">
        <f>K75-42872.96</f>
        <v>-34709.02000000003</v>
      </c>
      <c r="O75" s="127">
        <f>K75/42872.96</f>
        <v>0.19042165504784295</v>
      </c>
    </row>
    <row r="76" spans="2:11" ht="15.75">
      <c r="B76" s="23" t="s">
        <v>117</v>
      </c>
      <c r="K76" s="29"/>
    </row>
    <row r="77" spans="2:4" ht="15.75">
      <c r="B77" s="4" t="s">
        <v>119</v>
      </c>
      <c r="C77" s="101">
        <v>20</v>
      </c>
      <c r="D77" s="4" t="s">
        <v>118</v>
      </c>
    </row>
    <row r="78" spans="2:14" ht="31.5">
      <c r="B78" s="71" t="s">
        <v>154</v>
      </c>
      <c r="C78" s="34">
        <f>IF(L55&lt;0,ABS(L55/C77),0)</f>
        <v>1248.7755000000016</v>
      </c>
      <c r="D78" s="4" t="s">
        <v>104</v>
      </c>
      <c r="F78" s="226"/>
      <c r="G78" s="226"/>
      <c r="H78" s="115"/>
      <c r="I78" s="115"/>
      <c r="M78" s="29"/>
      <c r="N78" s="29"/>
    </row>
    <row r="79" spans="2:12" ht="34.5" customHeight="1">
      <c r="B79" s="72" t="s">
        <v>159</v>
      </c>
      <c r="C79" s="111">
        <v>42341</v>
      </c>
      <c r="D79" s="34">
        <v>2711.5</v>
      </c>
      <c r="F79" s="4" t="s">
        <v>166</v>
      </c>
      <c r="K79" s="238"/>
      <c r="L79" s="238"/>
    </row>
    <row r="80" spans="3:12" ht="15.75">
      <c r="C80" s="111">
        <v>42340</v>
      </c>
      <c r="D80" s="34">
        <v>576.5</v>
      </c>
      <c r="E80" s="155" t="s">
        <v>166</v>
      </c>
      <c r="F80" s="230"/>
      <c r="G80" s="230"/>
      <c r="H80" s="236"/>
      <c r="I80" s="236"/>
      <c r="J80" s="236"/>
      <c r="K80" s="238"/>
      <c r="L80" s="238"/>
    </row>
    <row r="81" spans="3:12" ht="15.75" customHeight="1">
      <c r="C81" s="111">
        <v>42339</v>
      </c>
      <c r="D81" s="34">
        <v>4779.6</v>
      </c>
      <c r="E81" s="90"/>
      <c r="F81" s="230"/>
      <c r="G81" s="230"/>
      <c r="H81" s="237"/>
      <c r="I81" s="237"/>
      <c r="J81" s="237"/>
      <c r="K81" s="238"/>
      <c r="L81" s="238"/>
    </row>
    <row r="82" spans="3:10" ht="15.75" customHeight="1">
      <c r="C82" s="111"/>
      <c r="E82" s="90"/>
      <c r="F82" s="239"/>
      <c r="G82" s="239"/>
      <c r="H82" s="236"/>
      <c r="I82" s="236"/>
      <c r="J82" s="236"/>
    </row>
    <row r="83" spans="2:10" ht="18.75" customHeight="1">
      <c r="B83" s="234" t="s">
        <v>160</v>
      </c>
      <c r="C83" s="235"/>
      <c r="D83" s="108">
        <v>96.71772</v>
      </c>
      <c r="E83" s="222"/>
      <c r="F83" s="230"/>
      <c r="G83" s="230"/>
      <c r="H83" s="236"/>
      <c r="I83" s="236"/>
      <c r="J83" s="236"/>
    </row>
    <row r="84" spans="5:9" ht="9.75" customHeight="1">
      <c r="E84" s="90"/>
      <c r="F84" s="230"/>
      <c r="G84" s="230"/>
      <c r="H84" s="91"/>
      <c r="I84" s="91"/>
    </row>
    <row r="85" spans="2:9" ht="22.5" customHeight="1" hidden="1">
      <c r="B85" s="231" t="s">
        <v>167</v>
      </c>
      <c r="C85" s="232"/>
      <c r="D85" s="70" t="s">
        <v>104</v>
      </c>
      <c r="E85" s="90"/>
      <c r="F85" s="230"/>
      <c r="G85" s="230"/>
      <c r="H85" s="91"/>
      <c r="I85" s="91"/>
    </row>
    <row r="86" spans="5:12" ht="15.75">
      <c r="E86" s="90"/>
      <c r="F86" s="91"/>
      <c r="G86" s="91"/>
      <c r="K86" s="230"/>
      <c r="L86" s="230"/>
    </row>
    <row r="87" spans="11:12" ht="15.75">
      <c r="K87" s="233"/>
      <c r="L87" s="233"/>
    </row>
    <row r="88" spans="11:12" ht="15.75">
      <c r="K88" s="230"/>
      <c r="L88" s="230"/>
    </row>
    <row r="92" ht="15.75">
      <c r="D92" s="4" t="s">
        <v>166</v>
      </c>
    </row>
  </sheetData>
  <mergeCells count="36">
    <mergeCell ref="K3:O3"/>
    <mergeCell ref="D4:D5"/>
    <mergeCell ref="E4:E5"/>
    <mergeCell ref="F4:F5"/>
    <mergeCell ref="G4:G5"/>
    <mergeCell ref="A1:M1"/>
    <mergeCell ref="B2:C2"/>
    <mergeCell ref="A3:A5"/>
    <mergeCell ref="B3:B5"/>
    <mergeCell ref="C3:C5"/>
    <mergeCell ref="E3:G3"/>
    <mergeCell ref="J3:J5"/>
    <mergeCell ref="N5:O5"/>
    <mergeCell ref="F78:G78"/>
    <mergeCell ref="K79:L79"/>
    <mergeCell ref="F80:G80"/>
    <mergeCell ref="H80:J80"/>
    <mergeCell ref="K80:L80"/>
    <mergeCell ref="K4:K5"/>
    <mergeCell ref="L4:L5"/>
    <mergeCell ref="M4:M5"/>
    <mergeCell ref="H5:I5"/>
    <mergeCell ref="F81:G81"/>
    <mergeCell ref="H81:J81"/>
    <mergeCell ref="K81:L81"/>
    <mergeCell ref="F82:G82"/>
    <mergeCell ref="H82:J82"/>
    <mergeCell ref="B83:C83"/>
    <mergeCell ref="F83:G83"/>
    <mergeCell ref="H83:J83"/>
    <mergeCell ref="F84:G84"/>
    <mergeCell ref="K88:L88"/>
    <mergeCell ref="B85:C85"/>
    <mergeCell ref="F85:G85"/>
    <mergeCell ref="K86:L86"/>
    <mergeCell ref="K87:L87"/>
  </mergeCells>
  <printOptions/>
  <pageMargins left="0.65" right="0.18" top="0.44" bottom="0.38" header="0.27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216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231</v>
      </c>
      <c r="N3" s="260" t="s">
        <v>232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228</v>
      </c>
      <c r="F4" s="245" t="s">
        <v>116</v>
      </c>
      <c r="G4" s="265" t="s">
        <v>229</v>
      </c>
      <c r="H4" s="247" t="s">
        <v>230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236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233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26"/>
      <c r="H104" s="226"/>
      <c r="I104" s="226"/>
      <c r="J104" s="22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8"/>
      <c r="O105" s="238"/>
    </row>
    <row r="106" spans="3:15" ht="15.75">
      <c r="C106" s="111">
        <v>42093</v>
      </c>
      <c r="D106" s="34">
        <v>8025</v>
      </c>
      <c r="F106" s="155" t="s">
        <v>166</v>
      </c>
      <c r="G106" s="230"/>
      <c r="H106" s="230"/>
      <c r="I106" s="177"/>
      <c r="J106" s="236"/>
      <c r="K106" s="236"/>
      <c r="L106" s="236"/>
      <c r="M106" s="236"/>
      <c r="N106" s="238"/>
      <c r="O106" s="238"/>
    </row>
    <row r="107" spans="3:15" ht="15.75" customHeight="1">
      <c r="C107" s="111">
        <v>42090</v>
      </c>
      <c r="D107" s="34">
        <v>4282.6</v>
      </c>
      <c r="G107" s="268" t="s">
        <v>151</v>
      </c>
      <c r="H107" s="268"/>
      <c r="I107" s="106">
        <f>8909732.21/1000</f>
        <v>8909.73221</v>
      </c>
      <c r="J107" s="237"/>
      <c r="K107" s="237"/>
      <c r="L107" s="237"/>
      <c r="M107" s="237"/>
      <c r="N107" s="238"/>
      <c r="O107" s="238"/>
    </row>
    <row r="108" spans="7:13" ht="15.75" customHeight="1">
      <c r="G108" s="269" t="s">
        <v>234</v>
      </c>
      <c r="H108" s="270"/>
      <c r="I108" s="103">
        <v>0</v>
      </c>
      <c r="J108" s="236"/>
      <c r="K108" s="236"/>
      <c r="L108" s="236"/>
      <c r="M108" s="236"/>
    </row>
    <row r="109" spans="2:13" ht="18.75" customHeight="1">
      <c r="B109" s="234" t="s">
        <v>160</v>
      </c>
      <c r="C109" s="235"/>
      <c r="D109" s="108">
        <f>147433239.77/1000</f>
        <v>147433.23977000001</v>
      </c>
      <c r="E109" s="73"/>
      <c r="F109" s="156" t="s">
        <v>147</v>
      </c>
      <c r="G109" s="268" t="s">
        <v>149</v>
      </c>
      <c r="H109" s="268"/>
      <c r="I109" s="107">
        <f>138523507.56/1000</f>
        <v>138523.50756</v>
      </c>
      <c r="J109" s="236"/>
      <c r="K109" s="236"/>
      <c r="L109" s="236"/>
      <c r="M109" s="236"/>
    </row>
    <row r="110" spans="7:12" ht="9.75" customHeight="1">
      <c r="G110" s="230"/>
      <c r="H110" s="230"/>
      <c r="I110" s="90"/>
      <c r="J110" s="91"/>
      <c r="K110" s="91"/>
      <c r="L110" s="91"/>
    </row>
    <row r="111" spans="2:12" ht="22.5" customHeight="1" hidden="1">
      <c r="B111" s="231" t="s">
        <v>167</v>
      </c>
      <c r="C111" s="232"/>
      <c r="D111" s="110">
        <v>0</v>
      </c>
      <c r="E111" s="70" t="s">
        <v>104</v>
      </c>
      <c r="G111" s="230"/>
      <c r="H111" s="230"/>
      <c r="I111" s="90"/>
      <c r="J111" s="91"/>
      <c r="K111" s="91"/>
      <c r="L111" s="91"/>
    </row>
    <row r="112" spans="4:15" ht="15.75">
      <c r="D112" s="105"/>
      <c r="N112" s="230"/>
      <c r="O112" s="230"/>
    </row>
    <row r="113" spans="4:15" ht="15.75">
      <c r="D113" s="104"/>
      <c r="I113" s="34"/>
      <c r="N113" s="233"/>
      <c r="O113" s="233"/>
    </row>
    <row r="114" spans="14:15" ht="15.75">
      <c r="N114" s="230"/>
      <c r="O114" s="230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 t="s">
        <v>205</v>
      </c>
      <c r="C3" s="254" t="s">
        <v>0</v>
      </c>
      <c r="D3" s="263" t="s">
        <v>216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221</v>
      </c>
      <c r="N3" s="260" t="s">
        <v>202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199</v>
      </c>
      <c r="F4" s="245" t="s">
        <v>116</v>
      </c>
      <c r="G4" s="265" t="s">
        <v>200</v>
      </c>
      <c r="H4" s="247" t="s">
        <v>201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226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224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26"/>
      <c r="H104" s="226"/>
      <c r="I104" s="226"/>
      <c r="J104" s="22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8"/>
      <c r="O105" s="238"/>
    </row>
    <row r="106" spans="3:15" ht="15.75">
      <c r="C106" s="111">
        <v>42061</v>
      </c>
      <c r="D106" s="34">
        <v>6003.3</v>
      </c>
      <c r="F106" s="155" t="s">
        <v>166</v>
      </c>
      <c r="G106" s="230"/>
      <c r="H106" s="230"/>
      <c r="I106" s="177"/>
      <c r="J106" s="236"/>
      <c r="K106" s="236"/>
      <c r="L106" s="236"/>
      <c r="M106" s="236"/>
      <c r="N106" s="238"/>
      <c r="O106" s="238"/>
    </row>
    <row r="107" spans="3:15" ht="15.75" customHeight="1">
      <c r="C107" s="111">
        <v>42060</v>
      </c>
      <c r="D107" s="34">
        <v>1551.3</v>
      </c>
      <c r="G107" s="268" t="s">
        <v>151</v>
      </c>
      <c r="H107" s="268"/>
      <c r="I107" s="106">
        <v>8909.73221</v>
      </c>
      <c r="J107" s="237"/>
      <c r="K107" s="237"/>
      <c r="L107" s="237"/>
      <c r="M107" s="237"/>
      <c r="N107" s="238"/>
      <c r="O107" s="238"/>
    </row>
    <row r="108" spans="7:13" ht="15.75" customHeight="1">
      <c r="G108" s="276" t="s">
        <v>155</v>
      </c>
      <c r="H108" s="276"/>
      <c r="I108" s="103">
        <v>0</v>
      </c>
      <c r="J108" s="236"/>
      <c r="K108" s="236"/>
      <c r="L108" s="236"/>
      <c r="M108" s="236"/>
    </row>
    <row r="109" spans="2:13" ht="18.75" customHeight="1">
      <c r="B109" s="234" t="s">
        <v>160</v>
      </c>
      <c r="C109" s="235"/>
      <c r="D109" s="108">
        <f>138305956.27/1000</f>
        <v>138305.95627000002</v>
      </c>
      <c r="E109" s="73"/>
      <c r="F109" s="156" t="s">
        <v>147</v>
      </c>
      <c r="G109" s="268" t="s">
        <v>149</v>
      </c>
      <c r="H109" s="268"/>
      <c r="I109" s="107">
        <v>129396.23</v>
      </c>
      <c r="J109" s="236"/>
      <c r="K109" s="236"/>
      <c r="L109" s="236"/>
      <c r="M109" s="236"/>
    </row>
    <row r="110" spans="7:12" ht="9.75" customHeight="1">
      <c r="G110" s="230"/>
      <c r="H110" s="230"/>
      <c r="I110" s="90"/>
      <c r="J110" s="91"/>
      <c r="K110" s="91"/>
      <c r="L110" s="91"/>
    </row>
    <row r="111" spans="2:12" ht="22.5" customHeight="1" hidden="1">
      <c r="B111" s="231" t="s">
        <v>167</v>
      </c>
      <c r="C111" s="232"/>
      <c r="D111" s="110">
        <v>0</v>
      </c>
      <c r="E111" s="70" t="s">
        <v>104</v>
      </c>
      <c r="G111" s="230"/>
      <c r="H111" s="230"/>
      <c r="I111" s="90"/>
      <c r="J111" s="91"/>
      <c r="K111" s="91"/>
      <c r="L111" s="91"/>
    </row>
    <row r="112" spans="4:15" ht="15.75">
      <c r="D112" s="105"/>
      <c r="N112" s="230"/>
      <c r="O112" s="230"/>
    </row>
    <row r="113" spans="4:15" ht="15.75">
      <c r="D113" s="104"/>
      <c r="I113" s="34"/>
      <c r="N113" s="233"/>
      <c r="O113" s="233"/>
    </row>
    <row r="114" spans="14:15" ht="15.75">
      <c r="N114" s="230"/>
      <c r="O114" s="230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 t="s">
        <v>205</v>
      </c>
      <c r="C3" s="254" t="s">
        <v>0</v>
      </c>
      <c r="D3" s="263" t="s">
        <v>216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220</v>
      </c>
      <c r="N3" s="260" t="s">
        <v>175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219</v>
      </c>
      <c r="F4" s="245" t="s">
        <v>116</v>
      </c>
      <c r="G4" s="265" t="s">
        <v>173</v>
      </c>
      <c r="H4" s="283" t="s">
        <v>174</v>
      </c>
      <c r="I4" s="281" t="s">
        <v>217</v>
      </c>
      <c r="J4" s="279" t="s">
        <v>218</v>
      </c>
      <c r="K4" s="116" t="s">
        <v>172</v>
      </c>
      <c r="L4" s="121" t="s">
        <v>171</v>
      </c>
      <c r="M4" s="258"/>
      <c r="N4" s="227" t="s">
        <v>194</v>
      </c>
      <c r="O4" s="28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84"/>
      <c r="I5" s="282"/>
      <c r="J5" s="280"/>
      <c r="K5" s="240" t="s">
        <v>188</v>
      </c>
      <c r="L5" s="241"/>
      <c r="M5" s="259"/>
      <c r="N5" s="228"/>
      <c r="O5" s="282"/>
      <c r="P5" s="260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26"/>
      <c r="H102" s="226"/>
      <c r="I102" s="226"/>
      <c r="J102" s="226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8"/>
      <c r="O103" s="238"/>
    </row>
    <row r="104" spans="3:15" ht="15.75">
      <c r="C104" s="111">
        <v>42033</v>
      </c>
      <c r="D104" s="34">
        <v>2896.5</v>
      </c>
      <c r="F104" s="155" t="s">
        <v>166</v>
      </c>
      <c r="G104" s="268" t="s">
        <v>151</v>
      </c>
      <c r="H104" s="268"/>
      <c r="I104" s="106">
        <f>'січень '!I139</f>
        <v>8909.733</v>
      </c>
      <c r="J104" s="277" t="s">
        <v>161</v>
      </c>
      <c r="K104" s="277"/>
      <c r="L104" s="277"/>
      <c r="M104" s="277"/>
      <c r="N104" s="238"/>
      <c r="O104" s="238"/>
    </row>
    <row r="105" spans="3:15" ht="15.75">
      <c r="C105" s="111">
        <v>42032</v>
      </c>
      <c r="D105" s="34">
        <v>2838.1</v>
      </c>
      <c r="G105" s="276" t="s">
        <v>155</v>
      </c>
      <c r="H105" s="276"/>
      <c r="I105" s="103">
        <f>'січень '!I140</f>
        <v>0</v>
      </c>
      <c r="J105" s="278" t="s">
        <v>162</v>
      </c>
      <c r="K105" s="278"/>
      <c r="L105" s="278"/>
      <c r="M105" s="278"/>
      <c r="N105" s="238"/>
      <c r="O105" s="238"/>
    </row>
    <row r="106" spans="7:13" ht="15.75" customHeight="1">
      <c r="G106" s="268" t="s">
        <v>148</v>
      </c>
      <c r="H106" s="268"/>
      <c r="I106" s="103">
        <f>'січень '!I141</f>
        <v>0</v>
      </c>
      <c r="J106" s="277" t="s">
        <v>163</v>
      </c>
      <c r="K106" s="277"/>
      <c r="L106" s="277"/>
      <c r="M106" s="277"/>
    </row>
    <row r="107" spans="2:13" ht="18.75" customHeight="1">
      <c r="B107" s="234" t="s">
        <v>160</v>
      </c>
      <c r="C107" s="235"/>
      <c r="D107" s="108">
        <f>'січень '!D142</f>
        <v>132375.63</v>
      </c>
      <c r="E107" s="73"/>
      <c r="F107" s="156" t="s">
        <v>147</v>
      </c>
      <c r="G107" s="268" t="s">
        <v>149</v>
      </c>
      <c r="H107" s="268"/>
      <c r="I107" s="107">
        <f>'січень '!I142</f>
        <v>123465.893</v>
      </c>
      <c r="J107" s="277" t="s">
        <v>164</v>
      </c>
      <c r="K107" s="277"/>
      <c r="L107" s="277"/>
      <c r="M107" s="277"/>
    </row>
    <row r="108" spans="7:12" ht="9.75" customHeight="1">
      <c r="G108" s="230"/>
      <c r="H108" s="230"/>
      <c r="I108" s="90"/>
      <c r="J108" s="91"/>
      <c r="K108" s="91"/>
      <c r="L108" s="91"/>
    </row>
    <row r="109" spans="2:12" ht="22.5" customHeight="1" hidden="1">
      <c r="B109" s="231" t="s">
        <v>167</v>
      </c>
      <c r="C109" s="232"/>
      <c r="D109" s="110">
        <v>0</v>
      </c>
      <c r="E109" s="70" t="s">
        <v>104</v>
      </c>
      <c r="G109" s="230"/>
      <c r="H109" s="230"/>
      <c r="I109" s="90"/>
      <c r="J109" s="91"/>
      <c r="K109" s="91"/>
      <c r="L109" s="91"/>
    </row>
    <row r="110" spans="4:15" ht="15.75">
      <c r="D110" s="105"/>
      <c r="N110" s="230"/>
      <c r="O110" s="230"/>
    </row>
    <row r="111" spans="4:15" ht="15.75">
      <c r="D111" s="104"/>
      <c r="I111" s="34"/>
      <c r="N111" s="233"/>
      <c r="O111" s="233"/>
    </row>
    <row r="112" spans="14:15" ht="15.75">
      <c r="N112" s="230"/>
      <c r="O112" s="230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 t="s">
        <v>203</v>
      </c>
      <c r="C3" s="254" t="s">
        <v>0</v>
      </c>
      <c r="D3" s="263" t="s">
        <v>190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187</v>
      </c>
      <c r="N3" s="260" t="s">
        <v>175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153</v>
      </c>
      <c r="F4" s="245" t="s">
        <v>116</v>
      </c>
      <c r="G4" s="265" t="s">
        <v>173</v>
      </c>
      <c r="H4" s="283" t="s">
        <v>174</v>
      </c>
      <c r="I4" s="281" t="s">
        <v>186</v>
      </c>
      <c r="J4" s="279" t="s">
        <v>189</v>
      </c>
      <c r="K4" s="116" t="s">
        <v>172</v>
      </c>
      <c r="L4" s="121" t="s">
        <v>171</v>
      </c>
      <c r="M4" s="258"/>
      <c r="N4" s="227" t="s">
        <v>194</v>
      </c>
      <c r="O4" s="28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84"/>
      <c r="I5" s="282"/>
      <c r="J5" s="280"/>
      <c r="K5" s="240" t="s">
        <v>188</v>
      </c>
      <c r="L5" s="241"/>
      <c r="M5" s="259"/>
      <c r="N5" s="228"/>
      <c r="O5" s="282"/>
      <c r="P5" s="260"/>
      <c r="Q5" s="240" t="s">
        <v>176</v>
      </c>
      <c r="R5" s="241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26"/>
      <c r="H137" s="226"/>
      <c r="I137" s="226"/>
      <c r="J137" s="226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8"/>
      <c r="O138" s="238"/>
    </row>
    <row r="139" spans="3:15" ht="15.75">
      <c r="C139" s="111">
        <v>42033</v>
      </c>
      <c r="D139" s="34">
        <v>2896.5</v>
      </c>
      <c r="F139" s="155" t="s">
        <v>166</v>
      </c>
      <c r="G139" s="268" t="s">
        <v>151</v>
      </c>
      <c r="H139" s="268"/>
      <c r="I139" s="106">
        <f>8909.733</f>
        <v>8909.733</v>
      </c>
      <c r="J139" s="277" t="s">
        <v>161</v>
      </c>
      <c r="K139" s="277"/>
      <c r="L139" s="277"/>
      <c r="M139" s="277"/>
      <c r="N139" s="238"/>
      <c r="O139" s="238"/>
    </row>
    <row r="140" spans="3:15" ht="15.75">
      <c r="C140" s="111">
        <v>42032</v>
      </c>
      <c r="D140" s="34">
        <v>2838.1</v>
      </c>
      <c r="G140" s="276" t="s">
        <v>155</v>
      </c>
      <c r="H140" s="276"/>
      <c r="I140" s="103">
        <v>0</v>
      </c>
      <c r="J140" s="278" t="s">
        <v>162</v>
      </c>
      <c r="K140" s="278"/>
      <c r="L140" s="278"/>
      <c r="M140" s="278"/>
      <c r="N140" s="238"/>
      <c r="O140" s="238"/>
    </row>
    <row r="141" spans="7:13" ht="15.75" customHeight="1">
      <c r="G141" s="268" t="s">
        <v>148</v>
      </c>
      <c r="H141" s="268"/>
      <c r="I141" s="103">
        <v>0</v>
      </c>
      <c r="J141" s="277" t="s">
        <v>163</v>
      </c>
      <c r="K141" s="277"/>
      <c r="L141" s="277"/>
      <c r="M141" s="277"/>
    </row>
    <row r="142" spans="2:13" ht="18.75" customHeight="1">
      <c r="B142" s="234" t="s">
        <v>160</v>
      </c>
      <c r="C142" s="235"/>
      <c r="D142" s="108">
        <f>132375.63</f>
        <v>132375.63</v>
      </c>
      <c r="E142" s="73"/>
      <c r="F142" s="156" t="s">
        <v>147</v>
      </c>
      <c r="G142" s="268" t="s">
        <v>149</v>
      </c>
      <c r="H142" s="268"/>
      <c r="I142" s="107">
        <f>123465.893</f>
        <v>123465.893</v>
      </c>
      <c r="J142" s="277" t="s">
        <v>164</v>
      </c>
      <c r="K142" s="277"/>
      <c r="L142" s="277"/>
      <c r="M142" s="277"/>
    </row>
    <row r="143" spans="7:12" ht="9.75" customHeight="1">
      <c r="G143" s="230"/>
      <c r="H143" s="230"/>
      <c r="I143" s="90"/>
      <c r="J143" s="91"/>
      <c r="K143" s="91"/>
      <c r="L143" s="91"/>
    </row>
    <row r="144" spans="2:12" ht="22.5" customHeight="1" hidden="1">
      <c r="B144" s="231" t="s">
        <v>167</v>
      </c>
      <c r="C144" s="232"/>
      <c r="D144" s="110">
        <v>0</v>
      </c>
      <c r="E144" s="70" t="s">
        <v>104</v>
      </c>
      <c r="G144" s="230"/>
      <c r="H144" s="230"/>
      <c r="I144" s="90"/>
      <c r="J144" s="91"/>
      <c r="K144" s="91"/>
      <c r="L144" s="91"/>
    </row>
    <row r="145" spans="4:15" ht="15.75">
      <c r="D145" s="105"/>
      <c r="N145" s="230"/>
      <c r="O145" s="230"/>
    </row>
    <row r="146" spans="4:15" ht="15.75">
      <c r="D146" s="104"/>
      <c r="I146" s="34"/>
      <c r="N146" s="233"/>
      <c r="O146" s="233"/>
    </row>
    <row r="147" spans="14:15" ht="15.75">
      <c r="N147" s="230"/>
      <c r="O147" s="230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84" sqref="G84:H84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322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53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319</v>
      </c>
      <c r="N3" s="260" t="s">
        <v>320</v>
      </c>
      <c r="O3" s="260"/>
      <c r="P3" s="260"/>
      <c r="Q3" s="260"/>
      <c r="R3" s="260"/>
    </row>
    <row r="4" spans="1:18" ht="22.5" customHeight="1">
      <c r="A4" s="251"/>
      <c r="B4" s="253"/>
      <c r="C4" s="254"/>
      <c r="D4" s="263"/>
      <c r="E4" s="261" t="s">
        <v>315</v>
      </c>
      <c r="F4" s="245" t="s">
        <v>116</v>
      </c>
      <c r="G4" s="265" t="s">
        <v>316</v>
      </c>
      <c r="H4" s="247" t="s">
        <v>317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323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53"/>
      <c r="C5" s="254"/>
      <c r="D5" s="263"/>
      <c r="E5" s="262"/>
      <c r="F5" s="246"/>
      <c r="G5" s="266"/>
      <c r="H5" s="248"/>
      <c r="I5" s="243"/>
      <c r="J5" s="259"/>
      <c r="K5" s="240" t="s">
        <v>318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 aca="true" t="shared" si="0" ref="G8:G54">F8-E8</f>
        <v>68166.20999999996</v>
      </c>
      <c r="H8" s="45">
        <f>F8/E8*100</f>
        <v>112.60834564258295</v>
      </c>
      <c r="I8" s="31">
        <f aca="true" t="shared" si="1" ref="I8:I54">F8-D8</f>
        <v>36520.78000000003</v>
      </c>
      <c r="J8" s="31">
        <f aca="true" t="shared" si="2" ref="J8:J14">F8/D8*100</f>
        <v>106.38152751494438</v>
      </c>
      <c r="K8" s="18">
        <f>K9+K15+K18+K19+K20+K32</f>
        <v>162786.12600000005</v>
      </c>
      <c r="L8" s="18"/>
      <c r="M8" s="18">
        <f>M9+M15+M18+M19+M20+M32+M17</f>
        <v>37118.100000000006</v>
      </c>
      <c r="N8" s="18">
        <f>N9+N15+N18+N19+N20+N32+N17</f>
        <v>66223.55000000003</v>
      </c>
      <c r="O8" s="31">
        <f aca="true" t="shared" si="3" ref="O8:O54">N8-M8</f>
        <v>29105.450000000026</v>
      </c>
      <c r="P8" s="31">
        <f>F8/M8*100</f>
        <v>1640.1965079031522</v>
      </c>
      <c r="Q8" s="31">
        <f>N8-33748.16</f>
        <v>32475.39000000003</v>
      </c>
      <c r="R8" s="125">
        <f>N8/33748.16</f>
        <v>1.9622862401979848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 t="shared" si="0"/>
        <v>39256.91000000003</v>
      </c>
      <c r="H9" s="35">
        <f aca="true" t="shared" si="4" ref="H9:H38">F9/E9*100</f>
        <v>113.53840049175233</v>
      </c>
      <c r="I9" s="50">
        <f t="shared" si="1"/>
        <v>17034.030000000028</v>
      </c>
      <c r="J9" s="50">
        <f t="shared" si="2"/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 t="shared" si="3"/>
        <v>12846.700000000012</v>
      </c>
      <c r="P9" s="50">
        <f aca="true" t="shared" si="5" ref="P9:P32">N9/M9*100</f>
        <v>163.90757138593182</v>
      </c>
      <c r="Q9" s="132">
        <f>N9-26568.11</f>
        <v>6380.590000000011</v>
      </c>
      <c r="R9" s="133">
        <f>N9/26568.11</f>
        <v>1.2401597253248353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 t="shared" si="0"/>
        <v>39861.71000000002</v>
      </c>
      <c r="H10" s="137">
        <f t="shared" si="4"/>
        <v>115.79552245867643</v>
      </c>
      <c r="I10" s="136">
        <f t="shared" si="1"/>
        <v>21812.530000000028</v>
      </c>
      <c r="J10" s="136">
        <f t="shared" si="2"/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 t="shared" si="3"/>
        <v>13187.25</v>
      </c>
      <c r="P10" s="136">
        <f t="shared" si="5"/>
        <v>180.41006097560975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 t="shared" si="0"/>
        <v>-3449.84</v>
      </c>
      <c r="H11" s="137">
        <f t="shared" si="4"/>
        <v>83.54861015073986</v>
      </c>
      <c r="I11" s="136">
        <f t="shared" si="1"/>
        <v>-5679.939999999999</v>
      </c>
      <c r="J11" s="136">
        <f t="shared" si="2"/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 t="shared" si="3"/>
        <v>-340.97999999999956</v>
      </c>
      <c r="P11" s="136">
        <f t="shared" si="5"/>
        <v>83.38304093567254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 t="shared" si="0"/>
        <v>-287.77000000000044</v>
      </c>
      <c r="H12" s="137">
        <f t="shared" si="4"/>
        <v>94.0897514890121</v>
      </c>
      <c r="I12" s="136">
        <f t="shared" si="1"/>
        <v>-1218.7700000000004</v>
      </c>
      <c r="J12" s="136">
        <f t="shared" si="2"/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 t="shared" si="3"/>
        <v>-7.910000000000764</v>
      </c>
      <c r="P12" s="136">
        <f t="shared" si="5"/>
        <v>98.11666666666649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 t="shared" si="0"/>
        <v>-1053.0499999999993</v>
      </c>
      <c r="H13" s="137">
        <f t="shared" si="4"/>
        <v>86.4705655626076</v>
      </c>
      <c r="I13" s="136">
        <f t="shared" si="1"/>
        <v>-1669.6499999999996</v>
      </c>
      <c r="J13" s="136">
        <f t="shared" si="2"/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 t="shared" si="3"/>
        <v>-208.51999999999953</v>
      </c>
      <c r="P13" s="136">
        <f t="shared" si="5"/>
        <v>75.17619047619053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 t="shared" si="0"/>
        <v>-708.3199999999999</v>
      </c>
      <c r="H15" s="35"/>
      <c r="I15" s="50">
        <f t="shared" si="1"/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 t="shared" si="3"/>
        <v>53.950000000000045</v>
      </c>
      <c r="P15" s="50"/>
      <c r="Q15" s="50">
        <f>N15-358.81</f>
        <v>-304.85999999999996</v>
      </c>
      <c r="R15" s="126">
        <f>N15/358.81</f>
        <v>0.15035812825729508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 t="shared" si="0"/>
        <v>3876.220000000001</v>
      </c>
      <c r="H19" s="35">
        <f t="shared" si="4"/>
        <v>106.28616141836036</v>
      </c>
      <c r="I19" s="50">
        <f t="shared" si="1"/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 t="shared" si="3"/>
        <v>2913.9199999999983</v>
      </c>
      <c r="P19" s="50">
        <f t="shared" si="5"/>
        <v>170.3845410628019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 t="shared" si="0"/>
        <v>26388.309999999998</v>
      </c>
      <c r="H20" s="35">
        <f t="shared" si="4"/>
        <v>114.5531660264665</v>
      </c>
      <c r="I20" s="50">
        <f t="shared" si="1"/>
        <v>17841.809999999998</v>
      </c>
      <c r="J20" s="178">
        <f aca="true" t="shared" si="6" ref="J20:J46">F20/D20*100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 t="shared" si="3"/>
        <v>13767.180000000022</v>
      </c>
      <c r="P20" s="50">
        <f t="shared" si="5"/>
        <v>223.69878522139172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 t="shared" si="0"/>
        <v>5235.309999999998</v>
      </c>
      <c r="H21" s="35">
        <f t="shared" si="4"/>
        <v>105.00914701239057</v>
      </c>
      <c r="I21" s="50">
        <f t="shared" si="1"/>
        <v>-549.6900000000023</v>
      </c>
      <c r="J21" s="178">
        <f t="shared" si="6"/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 t="shared" si="3"/>
        <v>742.9199999999983</v>
      </c>
      <c r="P21" s="50">
        <f t="shared" si="5"/>
        <v>109.02412360615112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 t="shared" si="0"/>
        <v>2013.6599999999999</v>
      </c>
      <c r="H22" s="137">
        <f t="shared" si="4"/>
        <v>118.81925233644859</v>
      </c>
      <c r="I22" s="136">
        <f t="shared" si="1"/>
        <v>2013.6599999999999</v>
      </c>
      <c r="J22" s="136">
        <f t="shared" si="6"/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 t="shared" si="3"/>
        <v>172.9300000000003</v>
      </c>
      <c r="P22" s="136">
        <f t="shared" si="5"/>
        <v>416.72161172161015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 t="shared" si="0"/>
        <v>1549.1999999999998</v>
      </c>
      <c r="H23" s="137">
        <f t="shared" si="4"/>
        <v>173.77142857142854</v>
      </c>
      <c r="I23" s="136">
        <f t="shared" si="1"/>
        <v>1549.1999999999998</v>
      </c>
      <c r="J23" s="136">
        <f t="shared" si="6"/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 t="shared" si="3"/>
        <v>147.23999999999978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 t="shared" si="0"/>
        <v>1672.449999999997</v>
      </c>
      <c r="H24" s="137">
        <f t="shared" si="4"/>
        <v>101.82352941176471</v>
      </c>
      <c r="I24" s="136">
        <f t="shared" si="1"/>
        <v>-4112.550000000003</v>
      </c>
      <c r="J24" s="136">
        <f t="shared" si="6"/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 t="shared" si="3"/>
        <v>422.75</v>
      </c>
      <c r="P24" s="136">
        <f t="shared" si="5"/>
        <v>105.17441860465115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 t="shared" si="0"/>
        <v>10.590000000000003</v>
      </c>
      <c r="H25" s="35">
        <f t="shared" si="4"/>
        <v>116.6771653543307</v>
      </c>
      <c r="I25" s="50">
        <f t="shared" si="1"/>
        <v>4.090000000000003</v>
      </c>
      <c r="J25" s="178">
        <f t="shared" si="6"/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 t="shared" si="3"/>
        <v>1.4500000000000028</v>
      </c>
      <c r="P25" s="50">
        <f t="shared" si="5"/>
        <v>112.08333333333336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 t="shared" si="0"/>
        <v>-772.87</v>
      </c>
      <c r="H26" s="35"/>
      <c r="I26" s="50">
        <f t="shared" si="1"/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 t="shared" si="3"/>
        <v>-31.92999999999995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 t="shared" si="0"/>
        <v>21915.28</v>
      </c>
      <c r="H27" s="35">
        <f t="shared" si="4"/>
        <v>128.55597107303407</v>
      </c>
      <c r="I27" s="50">
        <f t="shared" si="1"/>
        <v>19160.28</v>
      </c>
      <c r="J27" s="178">
        <f t="shared" si="6"/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 t="shared" si="3"/>
        <v>13054.740000000005</v>
      </c>
      <c r="P27" s="50">
        <f t="shared" si="5"/>
        <v>552.5039861351821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 t="shared" si="0"/>
        <v>4896.549999999999</v>
      </c>
      <c r="H29" s="137">
        <f t="shared" si="4"/>
        <v>126.03163211057948</v>
      </c>
      <c r="I29" s="136">
        <f t="shared" si="1"/>
        <v>4506.549999999999</v>
      </c>
      <c r="J29" s="136">
        <f t="shared" si="6"/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 t="shared" si="3"/>
        <v>3013.2199999999975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 t="shared" si="0"/>
        <v>16987.369999999995</v>
      </c>
      <c r="H30" s="137">
        <f t="shared" si="4"/>
        <v>129.32142918788296</v>
      </c>
      <c r="I30" s="136">
        <f t="shared" si="1"/>
        <v>14622.369999999995</v>
      </c>
      <c r="J30" s="136">
        <f t="shared" si="6"/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 t="shared" si="3"/>
        <v>10037.879999999997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 t="shared" si="0"/>
        <v>32.51</v>
      </c>
      <c r="H31" s="137"/>
      <c r="I31" s="136">
        <f t="shared" si="1"/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 t="shared" si="3"/>
        <v>3.6199999999999974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 t="shared" si="0"/>
        <v>-735.4499999999998</v>
      </c>
      <c r="H32" s="35">
        <f t="shared" si="4"/>
        <v>90.19373849969334</v>
      </c>
      <c r="I32" s="50">
        <f t="shared" si="1"/>
        <v>-735.6499999999996</v>
      </c>
      <c r="J32" s="178">
        <f t="shared" si="6"/>
        <v>90.19133333333333</v>
      </c>
      <c r="K32" s="178">
        <f>F32-7378.96</f>
        <v>-614.6099999999997</v>
      </c>
      <c r="L32" s="178">
        <f>F32/7378.96*100</f>
        <v>91.67077745373332</v>
      </c>
      <c r="M32" s="35">
        <f>E32-жовтень!E32</f>
        <v>1740.5</v>
      </c>
      <c r="N32" s="35">
        <f>F32-жовтень!F32</f>
        <v>1178.6000000000004</v>
      </c>
      <c r="O32" s="47">
        <f t="shared" si="3"/>
        <v>-561.8999999999996</v>
      </c>
      <c r="P32" s="50">
        <f t="shared" si="5"/>
        <v>67.71617351335824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 t="shared" si="0"/>
        <v>5797.309999999998</v>
      </c>
      <c r="H33" s="45">
        <f t="shared" si="4"/>
        <v>116.128472256032</v>
      </c>
      <c r="I33" s="31">
        <f t="shared" si="1"/>
        <v>4402.309999999998</v>
      </c>
      <c r="J33" s="31">
        <f t="shared" si="6"/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N34+N35+N36+N37+N38+N41+N42+N47+N48+N52+N40+N39</f>
        <v>6660.129999999997</v>
      </c>
      <c r="O33" s="49">
        <f t="shared" si="3"/>
        <v>3265.8299999999963</v>
      </c>
      <c r="P33" s="31">
        <f>N33/M33*100</f>
        <v>196.21512535721638</v>
      </c>
      <c r="Q33" s="31">
        <f>N33-1017.63</f>
        <v>5642.499999999997</v>
      </c>
      <c r="R33" s="127">
        <f>N33/1017.63</f>
        <v>6.5447461258021065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 t="shared" si="0"/>
        <v>-99.79</v>
      </c>
      <c r="H34" s="35">
        <f t="shared" si="4"/>
        <v>0.21</v>
      </c>
      <c r="I34" s="50">
        <f t="shared" si="1"/>
        <v>0.21</v>
      </c>
      <c r="J34" s="50" t="e">
        <f t="shared" si="6"/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 t="shared" si="3"/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 t="shared" si="0"/>
        <v>139.93</v>
      </c>
      <c r="H36" s="35">
        <f t="shared" si="4"/>
        <v>158.30416666666667</v>
      </c>
      <c r="I36" s="50">
        <f t="shared" si="1"/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 t="shared" si="3"/>
        <v>30.120000000000005</v>
      </c>
      <c r="P36" s="50"/>
      <c r="Q36" s="50">
        <f>N36-4.23</f>
        <v>25.890000000000004</v>
      </c>
      <c r="R36" s="126">
        <f>N36/4.23</f>
        <v>7.120567375886525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 t="shared" si="0"/>
        <v>137.83999999999997</v>
      </c>
      <c r="H38" s="35">
        <f t="shared" si="4"/>
        <v>206.03076923076918</v>
      </c>
      <c r="I38" s="50">
        <f t="shared" si="1"/>
        <v>127.83999999999997</v>
      </c>
      <c r="J38" s="50">
        <f t="shared" si="6"/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 t="shared" si="3"/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 t="shared" si="0"/>
        <v>-15.360000000000582</v>
      </c>
      <c r="H40" s="35">
        <f aca="true" t="shared" si="7" ref="H40:H46">F40/E40*100</f>
        <v>99.82741573033708</v>
      </c>
      <c r="I40" s="50">
        <f t="shared" si="1"/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 t="shared" si="0"/>
        <v>-50.280000000000655</v>
      </c>
      <c r="H42" s="35">
        <f t="shared" si="7"/>
        <v>99.26184743672557</v>
      </c>
      <c r="I42" s="50">
        <f t="shared" si="1"/>
        <v>-338.6800000000003</v>
      </c>
      <c r="J42" s="50">
        <f t="shared" si="6"/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 t="shared" si="3"/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 t="shared" si="0"/>
        <v>7.6200000000000045</v>
      </c>
      <c r="H43" s="35">
        <f t="shared" si="7"/>
        <v>100.75445544554455</v>
      </c>
      <c r="I43" s="136">
        <f t="shared" si="1"/>
        <v>-82.38</v>
      </c>
      <c r="J43" s="136">
        <f t="shared" si="6"/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 t="shared" si="0"/>
        <v>-35.85</v>
      </c>
      <c r="H44" s="35">
        <f t="shared" si="7"/>
        <v>55.1875</v>
      </c>
      <c r="I44" s="136">
        <f t="shared" si="1"/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 t="shared" si="0"/>
        <v>-21.199999999999818</v>
      </c>
      <c r="H46" s="35">
        <f t="shared" si="7"/>
        <v>99.62937062937063</v>
      </c>
      <c r="I46" s="136">
        <f t="shared" si="1"/>
        <v>-219.19999999999982</v>
      </c>
      <c r="J46" s="136">
        <f t="shared" si="6"/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 t="shared" si="0"/>
        <v>547.8199999999997</v>
      </c>
      <c r="H48" s="35">
        <f>F48/E48*100</f>
        <v>114.34083769633507</v>
      </c>
      <c r="I48" s="50">
        <f t="shared" si="1"/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 t="shared" si="3"/>
        <v>-13.0300000000002</v>
      </c>
      <c r="P48" s="50">
        <f aca="true" t="shared" si="8" ref="P48:P53">N48/M48*100</f>
        <v>96.47837837837832</v>
      </c>
      <c r="Q48" s="50">
        <f>N48-277.38</f>
        <v>79.5899999999998</v>
      </c>
      <c r="R48" s="126">
        <f>N48/277.38</f>
        <v>1.2869348907635727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1142</v>
      </c>
      <c r="G50" s="135">
        <f t="shared" si="0"/>
        <v>1142</v>
      </c>
      <c r="H50" s="137"/>
      <c r="I50" s="136">
        <f t="shared" si="1"/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 t="shared" si="3"/>
        <v>97.70000000000005</v>
      </c>
      <c r="P50" s="136"/>
      <c r="Q50" s="50">
        <f>N50-64.93</f>
        <v>32.77000000000004</v>
      </c>
      <c r="R50" s="126">
        <f>N50/64.93</f>
        <v>1.5046973663945793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 t="shared" si="0"/>
        <v>4.279999999999998</v>
      </c>
      <c r="H53" s="35">
        <f>F53/E53*100</f>
        <v>117.9831932773109</v>
      </c>
      <c r="I53" s="50">
        <f t="shared" si="1"/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 t="shared" si="3"/>
        <v>4.959999999999997</v>
      </c>
      <c r="P53" s="50">
        <f t="shared" si="8"/>
        <v>325.4545454545454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192632.67600000006</v>
      </c>
      <c r="L55" s="31">
        <f>F55/(F55-K55)*100</f>
        <v>142.06434847948242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 aca="true" t="shared" si="9" ref="G61:G68">F61-E61</f>
        <v>-55.72</v>
      </c>
      <c r="H61" s="35"/>
      <c r="I61" s="53">
        <f aca="true" t="shared" si="10" ref="I61:I68">F61-D61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 aca="true" t="shared" si="11" ref="O61:O68">N61-M61</f>
        <v>-0.9699999999999989</v>
      </c>
      <c r="P61" s="53"/>
      <c r="Q61" s="53">
        <f>N61-24.53</f>
        <v>-25.5</v>
      </c>
      <c r="R61" s="129">
        <f>N61/24.53</f>
        <v>-0.03954341622503053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 t="shared" si="9"/>
        <v>-55.72</v>
      </c>
      <c r="H62" s="65"/>
      <c r="I62" s="54">
        <f t="shared" si="10"/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 t="shared" si="11"/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 t="shared" si="9"/>
        <v>-1881</v>
      </c>
      <c r="H64" s="35"/>
      <c r="I64" s="53">
        <f t="shared" si="10"/>
        <v>-1881</v>
      </c>
      <c r="J64" s="53">
        <f t="shared" si="12"/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 t="shared" si="11"/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 t="shared" si="9"/>
        <v>452.2600000000002</v>
      </c>
      <c r="H65" s="35">
        <f>F65/E65*100</f>
        <v>105.82754457377077</v>
      </c>
      <c r="I65" s="53">
        <f t="shared" si="10"/>
        <v>-3363.01</v>
      </c>
      <c r="J65" s="53">
        <f t="shared" si="12"/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 t="shared" si="11"/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 t="shared" si="9"/>
        <v>811.73</v>
      </c>
      <c r="H66" s="35">
        <f>F66/E66*100</f>
        <v>154.80958811613775</v>
      </c>
      <c r="I66" s="53">
        <f t="shared" si="10"/>
        <v>-707.27</v>
      </c>
      <c r="J66" s="53">
        <f t="shared" si="12"/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 t="shared" si="11"/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 t="shared" si="9"/>
        <v>-617.0100000000002</v>
      </c>
      <c r="H67" s="65">
        <f>F67/E67*100</f>
        <v>94.74515254566406</v>
      </c>
      <c r="I67" s="54">
        <f t="shared" si="10"/>
        <v>-5951.280000000001</v>
      </c>
      <c r="J67" s="54">
        <f t="shared" si="12"/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 t="shared" si="11"/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195596.07600000006</v>
      </c>
      <c r="L75" s="31">
        <f>F75/(F75-K75)*100</f>
        <v>141.96569148357906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38"/>
      <c r="O79" s="238"/>
    </row>
    <row r="80" spans="3:15" ht="15.75">
      <c r="C80" s="111">
        <v>42335</v>
      </c>
      <c r="D80" s="34">
        <v>6852.3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42334</v>
      </c>
      <c r="D81" s="34">
        <v>5522.2</v>
      </c>
      <c r="F81" s="90"/>
      <c r="G81" s="230"/>
      <c r="H81" s="230"/>
      <c r="I81" s="177"/>
      <c r="J81" s="237"/>
      <c r="K81" s="237"/>
      <c r="L81" s="237"/>
      <c r="M81" s="237"/>
      <c r="N81" s="238"/>
      <c r="O81" s="238"/>
    </row>
    <row r="82" spans="3:13" ht="15.75" customHeight="1">
      <c r="C82" s="111"/>
      <c r="F82" s="90"/>
      <c r="G82" s="239"/>
      <c r="H82" s="239"/>
      <c r="I82" s="221"/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0.24</v>
      </c>
      <c r="E83" s="220"/>
      <c r="F83" s="222"/>
      <c r="G83" s="230"/>
      <c r="H83" s="230"/>
      <c r="I83" s="223"/>
      <c r="J83" s="236"/>
      <c r="K83" s="236"/>
      <c r="L83" s="236"/>
      <c r="M83" s="236"/>
    </row>
    <row r="84" spans="6:12" ht="9.75" customHeight="1">
      <c r="F84" s="90"/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F85" s="90"/>
      <c r="G85" s="230"/>
      <c r="H85" s="230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2" sqref="C2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313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311</v>
      </c>
      <c r="N3" s="260" t="s">
        <v>312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307</v>
      </c>
      <c r="F4" s="245" t="s">
        <v>116</v>
      </c>
      <c r="G4" s="265" t="s">
        <v>308</v>
      </c>
      <c r="H4" s="247" t="s">
        <v>309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314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310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8"/>
      <c r="O79" s="238"/>
    </row>
    <row r="80" spans="3:15" ht="15.75">
      <c r="C80" s="111">
        <v>42306</v>
      </c>
      <c r="D80" s="34">
        <v>6844.5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42305</v>
      </c>
      <c r="D81" s="34">
        <v>4690.4</v>
      </c>
      <c r="F81" s="90"/>
      <c r="G81" s="230"/>
      <c r="H81" s="230"/>
      <c r="I81" s="177"/>
      <c r="J81" s="237"/>
      <c r="K81" s="237"/>
      <c r="L81" s="237"/>
      <c r="M81" s="237"/>
      <c r="N81" s="238"/>
      <c r="O81" s="238"/>
    </row>
    <row r="82" spans="3:13" ht="15.75" customHeight="1">
      <c r="C82" s="111"/>
      <c r="F82" s="90"/>
      <c r="G82" s="239"/>
      <c r="H82" s="239"/>
      <c r="I82" s="221"/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257.30632</v>
      </c>
      <c r="E83" s="220"/>
      <c r="F83" s="222"/>
      <c r="G83" s="230"/>
      <c r="H83" s="230"/>
      <c r="I83" s="223"/>
      <c r="J83" s="236"/>
      <c r="K83" s="236"/>
      <c r="L83" s="236"/>
      <c r="M83" s="236"/>
    </row>
    <row r="84" spans="6:12" ht="9.75" customHeight="1">
      <c r="F84" s="90"/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F85" s="90"/>
      <c r="G85" s="230"/>
      <c r="H85" s="230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305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303</v>
      </c>
      <c r="N3" s="260" t="s">
        <v>304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298</v>
      </c>
      <c r="F4" s="245" t="s">
        <v>116</v>
      </c>
      <c r="G4" s="265" t="s">
        <v>299</v>
      </c>
      <c r="H4" s="247" t="s">
        <v>300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306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302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8"/>
      <c r="O79" s="238"/>
    </row>
    <row r="80" spans="3:15" ht="15.75">
      <c r="C80" s="111">
        <v>42276</v>
      </c>
      <c r="D80" s="34">
        <v>6511.1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42275</v>
      </c>
      <c r="D81" s="34">
        <v>4229.6</v>
      </c>
      <c r="F81" s="90"/>
      <c r="G81" s="230"/>
      <c r="H81" s="230"/>
      <c r="I81" s="177"/>
      <c r="J81" s="237"/>
      <c r="K81" s="237"/>
      <c r="L81" s="237"/>
      <c r="M81" s="237"/>
      <c r="N81" s="238"/>
      <c r="O81" s="238"/>
    </row>
    <row r="82" spans="3:13" ht="15.75" customHeight="1">
      <c r="C82" s="111"/>
      <c r="F82" s="90"/>
      <c r="G82" s="239"/>
      <c r="H82" s="239"/>
      <c r="I82" s="221"/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f>1507100.82/1000</f>
        <v>1507.10082</v>
      </c>
      <c r="E83" s="220"/>
      <c r="F83" s="222"/>
      <c r="G83" s="230"/>
      <c r="H83" s="230"/>
      <c r="I83" s="223"/>
      <c r="J83" s="236"/>
      <c r="K83" s="236"/>
      <c r="L83" s="236"/>
      <c r="M83" s="236"/>
    </row>
    <row r="84" spans="6:12" ht="9.75" customHeight="1">
      <c r="F84" s="90"/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F85" s="90"/>
      <c r="G85" s="230"/>
      <c r="H85" s="230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296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293</v>
      </c>
      <c r="N3" s="260" t="s">
        <v>294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291</v>
      </c>
      <c r="F4" s="245" t="s">
        <v>116</v>
      </c>
      <c r="G4" s="265" t="s">
        <v>292</v>
      </c>
      <c r="H4" s="247" t="s">
        <v>301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297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295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8"/>
      <c r="O79" s="238"/>
    </row>
    <row r="80" spans="3:15" ht="15.75">
      <c r="C80" s="111">
        <v>42244</v>
      </c>
      <c r="D80" s="34">
        <v>8323.9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42243</v>
      </c>
      <c r="D81" s="34">
        <v>4177.3</v>
      </c>
      <c r="F81" s="90"/>
      <c r="G81" s="230"/>
      <c r="H81" s="230"/>
      <c r="I81" s="177"/>
      <c r="J81" s="237"/>
      <c r="K81" s="237"/>
      <c r="L81" s="237"/>
      <c r="M81" s="237"/>
      <c r="N81" s="238"/>
      <c r="O81" s="238"/>
    </row>
    <row r="82" spans="3:13" ht="15.75" customHeight="1">
      <c r="C82" s="111"/>
      <c r="F82" s="90"/>
      <c r="G82" s="239"/>
      <c r="H82" s="239"/>
      <c r="I82" s="221"/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2162.07</v>
      </c>
      <c r="E83" s="220"/>
      <c r="F83" s="222"/>
      <c r="G83" s="230"/>
      <c r="H83" s="230"/>
      <c r="I83" s="223"/>
      <c r="J83" s="236"/>
      <c r="K83" s="236"/>
      <c r="L83" s="236"/>
      <c r="M83" s="236"/>
    </row>
    <row r="84" spans="6:12" ht="9.75" customHeight="1">
      <c r="F84" s="90"/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F85" s="90"/>
      <c r="G85" s="230"/>
      <c r="H85" s="230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289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285</v>
      </c>
      <c r="N3" s="260" t="s">
        <v>286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282</v>
      </c>
      <c r="F4" s="245" t="s">
        <v>116</v>
      </c>
      <c r="G4" s="265" t="s">
        <v>283</v>
      </c>
      <c r="H4" s="247" t="s">
        <v>284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290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287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8"/>
      <c r="O79" s="238"/>
    </row>
    <row r="80" spans="3:15" ht="15.75">
      <c r="C80" s="111">
        <v>42215</v>
      </c>
      <c r="D80" s="34">
        <v>7239.9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42214</v>
      </c>
      <c r="D81" s="34">
        <v>4823.1</v>
      </c>
      <c r="G81" s="268" t="s">
        <v>151</v>
      </c>
      <c r="H81" s="268"/>
      <c r="I81" s="106">
        <v>8909.73221</v>
      </c>
      <c r="J81" s="237"/>
      <c r="K81" s="237"/>
      <c r="L81" s="237"/>
      <c r="M81" s="237"/>
      <c r="N81" s="238"/>
      <c r="O81" s="238"/>
    </row>
    <row r="82" spans="3:13" ht="15.75" customHeight="1">
      <c r="C82" s="111"/>
      <c r="G82" s="269" t="s">
        <v>234</v>
      </c>
      <c r="H82" s="270"/>
      <c r="I82" s="103">
        <v>0</v>
      </c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24842.96012</v>
      </c>
      <c r="E83" s="73"/>
      <c r="F83" s="156" t="s">
        <v>147</v>
      </c>
      <c r="G83" s="268" t="s">
        <v>149</v>
      </c>
      <c r="H83" s="268"/>
      <c r="I83" s="107">
        <v>15933.22791</v>
      </c>
      <c r="J83" s="236"/>
      <c r="K83" s="236"/>
      <c r="L83" s="236"/>
      <c r="M83" s="236"/>
    </row>
    <row r="84" spans="7:12" ht="9.75" customHeight="1"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G85" s="230"/>
      <c r="H85" s="230"/>
      <c r="I85" s="90"/>
      <c r="J85" s="91"/>
      <c r="K85" s="91"/>
      <c r="L85" s="91"/>
    </row>
    <row r="86" spans="4:15" ht="15.75">
      <c r="D86" s="105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1" t="s">
        <v>280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17"/>
      <c r="R1" s="118"/>
    </row>
    <row r="2" spans="2:18" s="1" customFormat="1" ht="15.75" customHeight="1">
      <c r="B2" s="250"/>
      <c r="C2" s="250"/>
      <c r="D2" s="250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277</v>
      </c>
      <c r="N3" s="260" t="s">
        <v>278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279</v>
      </c>
      <c r="F4" s="272" t="s">
        <v>116</v>
      </c>
      <c r="G4" s="265" t="s">
        <v>275</v>
      </c>
      <c r="H4" s="247" t="s">
        <v>276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281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73"/>
      <c r="G5" s="266"/>
      <c r="H5" s="248"/>
      <c r="I5" s="243"/>
      <c r="J5" s="259"/>
      <c r="K5" s="240" t="s">
        <v>288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8"/>
      <c r="O79" s="238"/>
    </row>
    <row r="80" spans="3:15" ht="15.75">
      <c r="C80" s="111">
        <v>42181</v>
      </c>
      <c r="D80" s="34">
        <v>8722.4</v>
      </c>
      <c r="F80" s="217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42180</v>
      </c>
      <c r="D81" s="34">
        <v>4146.6</v>
      </c>
      <c r="G81" s="268" t="s">
        <v>151</v>
      </c>
      <c r="H81" s="268"/>
      <c r="I81" s="106">
        <v>8909.73221</v>
      </c>
      <c r="J81" s="237"/>
      <c r="K81" s="237"/>
      <c r="L81" s="237"/>
      <c r="M81" s="237"/>
      <c r="N81" s="238"/>
      <c r="O81" s="238"/>
    </row>
    <row r="82" spans="3:13" ht="15.75" customHeight="1">
      <c r="C82" s="111"/>
      <c r="G82" s="269" t="s">
        <v>234</v>
      </c>
      <c r="H82" s="270"/>
      <c r="I82" s="103">
        <v>0</v>
      </c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152943.93305000002</v>
      </c>
      <c r="E83" s="73"/>
      <c r="F83" s="218" t="s">
        <v>147</v>
      </c>
      <c r="G83" s="268" t="s">
        <v>149</v>
      </c>
      <c r="H83" s="268"/>
      <c r="I83" s="107">
        <v>144034.20084</v>
      </c>
      <c r="J83" s="236"/>
      <c r="K83" s="236"/>
      <c r="L83" s="236"/>
      <c r="M83" s="236"/>
    </row>
    <row r="84" spans="7:12" ht="9.75" customHeight="1"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G85" s="230"/>
      <c r="H85" s="230"/>
      <c r="I85" s="90"/>
      <c r="J85" s="91"/>
      <c r="K85" s="91"/>
      <c r="L85" s="91"/>
    </row>
    <row r="86" spans="4:15" ht="15.75">
      <c r="D86" s="105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266</v>
      </c>
      <c r="N3" s="260" t="s">
        <v>267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262</v>
      </c>
      <c r="F4" s="245" t="s">
        <v>116</v>
      </c>
      <c r="G4" s="265" t="s">
        <v>263</v>
      </c>
      <c r="H4" s="247" t="s">
        <v>264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273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46"/>
      <c r="G5" s="266"/>
      <c r="H5" s="248"/>
      <c r="I5" s="243"/>
      <c r="J5" s="259"/>
      <c r="K5" s="240" t="s">
        <v>265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26"/>
      <c r="H78" s="226"/>
      <c r="I78" s="226"/>
      <c r="J78" s="22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8"/>
      <c r="O79" s="238"/>
    </row>
    <row r="80" spans="3:15" ht="15.75">
      <c r="C80" s="111">
        <v>42152</v>
      </c>
      <c r="D80" s="34">
        <v>5845.4</v>
      </c>
      <c r="F80" s="155" t="s">
        <v>166</v>
      </c>
      <c r="G80" s="230"/>
      <c r="H80" s="230"/>
      <c r="I80" s="177"/>
      <c r="J80" s="236"/>
      <c r="K80" s="236"/>
      <c r="L80" s="236"/>
      <c r="M80" s="236"/>
      <c r="N80" s="238"/>
      <c r="O80" s="238"/>
    </row>
    <row r="81" spans="3:15" ht="15.75" customHeight="1">
      <c r="C81" s="111">
        <v>42151</v>
      </c>
      <c r="D81" s="34">
        <v>3158.7</v>
      </c>
      <c r="G81" s="268" t="s">
        <v>151</v>
      </c>
      <c r="H81" s="268"/>
      <c r="I81" s="106">
        <v>8909.73221</v>
      </c>
      <c r="J81" s="237"/>
      <c r="K81" s="237"/>
      <c r="L81" s="237"/>
      <c r="M81" s="237"/>
      <c r="N81" s="238"/>
      <c r="O81" s="238"/>
    </row>
    <row r="82" spans="7:13" ht="15.75" customHeight="1">
      <c r="G82" s="269" t="s">
        <v>234</v>
      </c>
      <c r="H82" s="270"/>
      <c r="I82" s="103">
        <v>0</v>
      </c>
      <c r="J82" s="236"/>
      <c r="K82" s="236"/>
      <c r="L82" s="236"/>
      <c r="M82" s="236"/>
    </row>
    <row r="83" spans="2:13" ht="18.75" customHeight="1">
      <c r="B83" s="234" t="s">
        <v>160</v>
      </c>
      <c r="C83" s="235"/>
      <c r="D83" s="108">
        <v>153606.78</v>
      </c>
      <c r="E83" s="73"/>
      <c r="F83" s="156" t="s">
        <v>147</v>
      </c>
      <c r="G83" s="268" t="s">
        <v>149</v>
      </c>
      <c r="H83" s="268"/>
      <c r="I83" s="107">
        <v>144697.05</v>
      </c>
      <c r="J83" s="236"/>
      <c r="K83" s="236"/>
      <c r="L83" s="236"/>
      <c r="M83" s="236"/>
    </row>
    <row r="84" spans="7:12" ht="9.75" customHeight="1">
      <c r="G84" s="230"/>
      <c r="H84" s="230"/>
      <c r="I84" s="90"/>
      <c r="J84" s="91"/>
      <c r="K84" s="91"/>
      <c r="L84" s="91"/>
    </row>
    <row r="85" spans="2:12" ht="22.5" customHeight="1" hidden="1">
      <c r="B85" s="231" t="s">
        <v>167</v>
      </c>
      <c r="C85" s="232"/>
      <c r="D85" s="110">
        <v>0</v>
      </c>
      <c r="E85" s="70" t="s">
        <v>104</v>
      </c>
      <c r="G85" s="230"/>
      <c r="H85" s="230"/>
      <c r="I85" s="90"/>
      <c r="J85" s="91"/>
      <c r="K85" s="91"/>
      <c r="L85" s="91"/>
    </row>
    <row r="86" spans="4:15" ht="15.75">
      <c r="D86" s="105"/>
      <c r="N86" s="230"/>
      <c r="O86" s="230"/>
    </row>
    <row r="87" spans="4:15" ht="15.75">
      <c r="D87" s="104"/>
      <c r="I87" s="34"/>
      <c r="N87" s="233"/>
      <c r="O87" s="233"/>
    </row>
    <row r="88" spans="14:15" ht="15.75">
      <c r="N88" s="230"/>
      <c r="O88" s="230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9" t="s">
        <v>259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17"/>
      <c r="R1" s="118"/>
    </row>
    <row r="2" spans="2:18" s="1" customFormat="1" ht="15.75" customHeight="1">
      <c r="B2" s="250"/>
      <c r="C2" s="250"/>
      <c r="D2" s="250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1"/>
      <c r="B3" s="267"/>
      <c r="C3" s="254" t="s">
        <v>0</v>
      </c>
      <c r="D3" s="263" t="s">
        <v>261</v>
      </c>
      <c r="E3" s="40"/>
      <c r="F3" s="255" t="s">
        <v>107</v>
      </c>
      <c r="G3" s="256"/>
      <c r="H3" s="256"/>
      <c r="I3" s="256"/>
      <c r="J3" s="264"/>
      <c r="K3" s="114"/>
      <c r="L3" s="114"/>
      <c r="M3" s="257" t="s">
        <v>240</v>
      </c>
      <c r="N3" s="260" t="s">
        <v>241</v>
      </c>
      <c r="O3" s="260"/>
      <c r="P3" s="260"/>
      <c r="Q3" s="260"/>
      <c r="R3" s="260"/>
    </row>
    <row r="4" spans="1:18" ht="22.5" customHeight="1">
      <c r="A4" s="251"/>
      <c r="B4" s="267"/>
      <c r="C4" s="254"/>
      <c r="D4" s="263"/>
      <c r="E4" s="261" t="s">
        <v>237</v>
      </c>
      <c r="F4" s="274" t="s">
        <v>116</v>
      </c>
      <c r="G4" s="265" t="s">
        <v>238</v>
      </c>
      <c r="H4" s="247" t="s">
        <v>239</v>
      </c>
      <c r="I4" s="242" t="s">
        <v>217</v>
      </c>
      <c r="J4" s="258" t="s">
        <v>218</v>
      </c>
      <c r="K4" s="116" t="s">
        <v>172</v>
      </c>
      <c r="L4" s="121" t="s">
        <v>171</v>
      </c>
      <c r="M4" s="258"/>
      <c r="N4" s="227" t="s">
        <v>260</v>
      </c>
      <c r="O4" s="24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2"/>
      <c r="B5" s="267"/>
      <c r="C5" s="254"/>
      <c r="D5" s="263"/>
      <c r="E5" s="262"/>
      <c r="F5" s="275"/>
      <c r="G5" s="266"/>
      <c r="H5" s="248"/>
      <c r="I5" s="243"/>
      <c r="J5" s="259"/>
      <c r="K5" s="240" t="s">
        <v>242</v>
      </c>
      <c r="L5" s="241"/>
      <c r="M5" s="259"/>
      <c r="N5" s="228"/>
      <c r="O5" s="243"/>
      <c r="P5" s="244"/>
      <c r="Q5" s="240" t="s">
        <v>176</v>
      </c>
      <c r="R5" s="24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26"/>
      <c r="H103" s="226"/>
      <c r="I103" s="226"/>
      <c r="J103" s="226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8"/>
      <c r="O104" s="238"/>
    </row>
    <row r="105" spans="3:15" ht="15.75">
      <c r="C105" s="111">
        <v>42123</v>
      </c>
      <c r="D105" s="34">
        <v>7959.6</v>
      </c>
      <c r="F105" s="201" t="s">
        <v>166</v>
      </c>
      <c r="G105" s="230"/>
      <c r="H105" s="230"/>
      <c r="I105" s="177"/>
      <c r="J105" s="236"/>
      <c r="K105" s="236"/>
      <c r="L105" s="236"/>
      <c r="M105" s="236"/>
      <c r="N105" s="238"/>
      <c r="O105" s="238"/>
    </row>
    <row r="106" spans="3:15" ht="15.75" customHeight="1">
      <c r="C106" s="111">
        <v>42122</v>
      </c>
      <c r="D106" s="34">
        <v>4962.7</v>
      </c>
      <c r="G106" s="268" t="s">
        <v>151</v>
      </c>
      <c r="H106" s="268"/>
      <c r="I106" s="106">
        <v>8909.73221</v>
      </c>
      <c r="J106" s="237"/>
      <c r="K106" s="237"/>
      <c r="L106" s="237"/>
      <c r="M106" s="237"/>
      <c r="N106" s="238"/>
      <c r="O106" s="238"/>
    </row>
    <row r="107" spans="7:13" ht="15.75" customHeight="1">
      <c r="G107" s="269" t="s">
        <v>234</v>
      </c>
      <c r="H107" s="270"/>
      <c r="I107" s="103">
        <v>0</v>
      </c>
      <c r="J107" s="236"/>
      <c r="K107" s="236"/>
      <c r="L107" s="236"/>
      <c r="M107" s="236"/>
    </row>
    <row r="108" spans="2:13" ht="18.75" customHeight="1">
      <c r="B108" s="234" t="s">
        <v>160</v>
      </c>
      <c r="C108" s="235"/>
      <c r="D108" s="108">
        <v>154856.06924</v>
      </c>
      <c r="E108" s="73"/>
      <c r="F108" s="202" t="s">
        <v>147</v>
      </c>
      <c r="G108" s="268" t="s">
        <v>149</v>
      </c>
      <c r="H108" s="268"/>
      <c r="I108" s="107">
        <v>145946.33703</v>
      </c>
      <c r="J108" s="236"/>
      <c r="K108" s="236"/>
      <c r="L108" s="236"/>
      <c r="M108" s="236"/>
    </row>
    <row r="109" spans="7:12" ht="9.75" customHeight="1">
      <c r="G109" s="230"/>
      <c r="H109" s="230"/>
      <c r="I109" s="90"/>
      <c r="J109" s="91"/>
      <c r="K109" s="91"/>
      <c r="L109" s="91"/>
    </row>
    <row r="110" spans="2:12" ht="22.5" customHeight="1" hidden="1">
      <c r="B110" s="231" t="s">
        <v>167</v>
      </c>
      <c r="C110" s="232"/>
      <c r="D110" s="110">
        <v>0</v>
      </c>
      <c r="E110" s="70" t="s">
        <v>104</v>
      </c>
      <c r="G110" s="230"/>
      <c r="H110" s="230"/>
      <c r="I110" s="90"/>
      <c r="J110" s="91"/>
      <c r="K110" s="91"/>
      <c r="L110" s="91"/>
    </row>
    <row r="111" spans="4:15" ht="15.75">
      <c r="D111" s="105"/>
      <c r="N111" s="230"/>
      <c r="O111" s="230"/>
    </row>
    <row r="112" spans="4:15" ht="15.75">
      <c r="D112" s="104"/>
      <c r="I112" s="34"/>
      <c r="N112" s="233"/>
      <c r="O112" s="233"/>
    </row>
    <row r="113" spans="14:15" ht="15.75">
      <c r="N113" s="230"/>
      <c r="O113" s="230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2015-12-04T08:25:36Z</cp:lastPrinted>
  <dcterms:created xsi:type="dcterms:W3CDTF">2003-07-28T11:27:56Z</dcterms:created>
  <dcterms:modified xsi:type="dcterms:W3CDTF">2015-12-04T10:07:26Z</dcterms:modified>
  <cp:category/>
  <cp:version/>
  <cp:contentType/>
  <cp:contentStatus/>
</cp:coreProperties>
</file>